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90" windowWidth="11910" windowHeight="4245" tabRatio="848" activeTab="0"/>
  </bookViews>
  <sheets>
    <sheet name="Simulatore" sheetId="1" r:id="rId1"/>
    <sheet name="Riqualificazione" sheetId="2" r:id="rId2"/>
    <sheet name="1" sheetId="3" r:id="rId3"/>
    <sheet name="2" sheetId="4" r:id="rId4"/>
    <sheet name="A" sheetId="5" r:id="rId5"/>
    <sheet name="B" sheetId="6" r:id="rId6"/>
    <sheet name="C" sheetId="7" r:id="rId7"/>
    <sheet name="D" sheetId="8" r:id="rId8"/>
    <sheet name="E" sheetId="9" r:id="rId9"/>
  </sheets>
  <definedNames>
    <definedName name="_xlnm.Print_Area" localSheetId="2">'1'!$B$1:$CA$201</definedName>
    <definedName name="_xlnm.Print_Area" localSheetId="3">'2'!$B$1:$CA$199</definedName>
    <definedName name="_xlnm.Print_Area" localSheetId="0">'Simulatore'!$A$2:$V$31</definedName>
  </definedNames>
  <calcPr fullCalcOnLoad="1"/>
</workbook>
</file>

<file path=xl/comments1.xml><?xml version="1.0" encoding="utf-8"?>
<comments xmlns="http://schemas.openxmlformats.org/spreadsheetml/2006/main">
  <authors>
    <author>Operativo2</author>
    <author>GE</author>
    <author>Francesco</author>
  </authors>
  <commentList>
    <comment ref="B8" authorId="0">
      <text>
        <r>
          <rPr>
            <sz val="11"/>
            <rFont val="Tahoma"/>
            <family val="2"/>
          </rPr>
          <t>S'intende dove è situata l'abitazione o l'azienda. 
NB serve per stabilire il livello di irragiamento per il calcolo della producibilità di energia</t>
        </r>
        <r>
          <rPr>
            <sz val="10"/>
            <rFont val="Tahoma"/>
            <family val="2"/>
          </rPr>
          <t xml:space="preserve">
</t>
        </r>
      </text>
    </comment>
    <comment ref="B9" authorId="1">
      <text>
        <r>
          <rPr>
            <sz val="11"/>
            <rFont val="Tahoma"/>
            <family val="2"/>
          </rPr>
          <t>Questo dato serve soprattutto per determinare il fabbisogno di acqua calda sanitaria</t>
        </r>
      </text>
    </comment>
    <comment ref="B10" authorId="1">
      <text>
        <r>
          <rPr>
            <sz val="11"/>
            <rFont val="Tahoma"/>
            <family val="2"/>
          </rPr>
          <t>Per calcolarla è possibile utilizzare il foglio "Riqualificazione".
Serve per determinare il fabbisogno energetico per il riscaldamento e l'eventuale condizionamento estivo</t>
        </r>
      </text>
    </comment>
    <comment ref="B11" authorId="1">
      <text>
        <r>
          <rPr>
            <sz val="11"/>
            <rFont val="Tahoma"/>
            <family val="2"/>
          </rPr>
          <t xml:space="preserve">Indicare la potenza (kW) dell'attuale contratto. </t>
        </r>
        <r>
          <rPr>
            <sz val="8"/>
            <rFont val="Tahoma"/>
            <family val="2"/>
          </rPr>
          <t xml:space="preserve">
</t>
        </r>
      </text>
    </comment>
    <comment ref="B12" authorId="1">
      <text>
        <r>
          <rPr>
            <sz val="11"/>
            <rFont val="Tahoma"/>
            <family val="2"/>
          </rPr>
          <t>indicare la somma</t>
        </r>
        <r>
          <rPr>
            <b/>
            <sz val="11"/>
            <rFont val="Tahoma"/>
            <family val="2"/>
          </rPr>
          <t xml:space="preserve"> </t>
        </r>
        <r>
          <rPr>
            <sz val="11"/>
            <rFont val="Tahoma"/>
            <family val="2"/>
          </rPr>
          <t>delle bollette di energia elettrica per il periodo di un anno (va bene anche una stima di massima)</t>
        </r>
      </text>
    </comment>
    <comment ref="E8" authorId="1">
      <text>
        <r>
          <rPr>
            <sz val="11"/>
            <rFont val="Tahoma"/>
            <family val="2"/>
          </rPr>
          <t>Indicare se l'impianto di riscaldamento è composto da radiatori o altro tipo di superficie riscaldante</t>
        </r>
      </text>
    </comment>
    <comment ref="E9" authorId="1">
      <text>
        <r>
          <rPr>
            <sz val="11"/>
            <rFont val="Tahoma"/>
            <family val="2"/>
          </rPr>
          <t>S'intende dell'impianto primario.
Serve per determinare in kWh il fabbisogno di energia</t>
        </r>
      </text>
    </comment>
    <comment ref="E10" authorId="1">
      <text>
        <r>
          <rPr>
            <sz val="11"/>
            <rFont val="Tahoma"/>
            <family val="2"/>
          </rPr>
          <t>S'intende dell'impianto primario. Serve per determinare gli attuali costi dei consumi energetici</t>
        </r>
      </text>
    </comment>
    <comment ref="E11" authorId="0">
      <text>
        <r>
          <rPr>
            <sz val="11"/>
            <rFont val="Arial"/>
            <family val="2"/>
          </rPr>
          <t>Con l'eliminazione del contratto del Gas o metano o gasolio, sarà  necessario dotarsi di un impianto di supporto alla pompa di calore per gestire le giornate di freddo "estremo" (-10°). Se non si ha un impianto di questo tipo bisogna spuntarlo su questa casella per prevederne i costi nel calcolo, relegando ad un analisi più approfondita (sopraluogo tecnico) l'individuazione della soluzione tecnica più idonea che va valutata caso per caso.</t>
        </r>
        <r>
          <rPr>
            <sz val="10"/>
            <rFont val="Tahoma"/>
            <family val="2"/>
          </rPr>
          <t xml:space="preserve">
</t>
        </r>
      </text>
    </comment>
    <comment ref="E12" authorId="0">
      <text>
        <r>
          <rPr>
            <sz val="11"/>
            <rFont val="Tahoma"/>
            <family val="2"/>
          </rPr>
          <t>Inserire i costi attuali del combustibile dell'impianto a biomassa. Serve per individuare il fabbisogno complessivo di eneria termica e per determinare la taglia adeguata della eventuale Pompa di Calore</t>
        </r>
      </text>
    </comment>
    <comment ref="B16" authorId="1">
      <text>
        <r>
          <rPr>
            <sz val="11"/>
            <rFont val="Tahoma"/>
            <family val="2"/>
          </rPr>
          <t>S'intende la potenza dell'impianto fotovoltaico che è possibile installare nella propria abitazione o azienda, considerando che per ogni kWp servono circa 7 metri quadrati. Si consiglia di modulare questo dato (se il vostro spazio lo permette) fino a raggiungere il 100% di autonomia energetica preferibilmente pianificando (anche di massima) i futuri interventi e acquisti (es.auto elettrica, condizionatore, ecc.)</t>
        </r>
      </text>
    </comment>
    <comment ref="B17" authorId="1">
      <text>
        <r>
          <rPr>
            <b/>
            <sz val="11"/>
            <rFont val="Tahoma"/>
            <family val="2"/>
          </rPr>
          <t xml:space="preserve">Per impianto standard si intende </t>
        </r>
        <r>
          <rPr>
            <sz val="11"/>
            <rFont val="Tahoma"/>
            <family val="2"/>
          </rPr>
          <t xml:space="preserve">l'installazione dei moduli sopra i coppi o tegole (parzialmente integrato), per </t>
        </r>
        <r>
          <rPr>
            <b/>
            <sz val="11"/>
            <rFont val="Tahoma"/>
            <family val="2"/>
          </rPr>
          <t>impianto innovativo si intende</t>
        </r>
        <r>
          <rPr>
            <sz val="11"/>
            <rFont val="Tahoma"/>
            <family val="2"/>
          </rPr>
          <t xml:space="preserve"> l'installazione dei moduli in sostituzione dei coppi o tegole in modo che l'acqua piovana scorra sopra i moduli e non al di sotto. Questo tipo di impianto </t>
        </r>
        <r>
          <rPr>
            <b/>
            <sz val="11"/>
            <rFont val="Tahoma"/>
            <family val="2"/>
          </rPr>
          <t>con il 5°  Conto Energia  beneficia di incentivi maggior</t>
        </r>
        <r>
          <rPr>
            <sz val="11"/>
            <rFont val="Tahoma"/>
            <family val="2"/>
          </rPr>
          <t>i per cui il quadro economico è migliore anche se il costo dell'impianto è superiore. Bisogna però verificare la fattibilità con un apposito sopralluogo tecnico.</t>
        </r>
        <r>
          <rPr>
            <sz val="8"/>
            <rFont val="Tahoma"/>
            <family val="2"/>
          </rPr>
          <t xml:space="preserve">
</t>
        </r>
      </text>
    </comment>
    <comment ref="B18" authorId="0">
      <text>
        <r>
          <rPr>
            <b/>
            <sz val="11"/>
            <rFont val="Tahoma"/>
            <family val="2"/>
          </rPr>
          <t xml:space="preserve">PdC Riscaldamento: </t>
        </r>
        <r>
          <rPr>
            <sz val="11"/>
            <rFont val="Tahoma"/>
            <family val="2"/>
          </rPr>
          <t xml:space="preserve">s'intende una Pompa Di Calore per il Riscaldamento Invernale (e l'eventuale Raffrescamento Estivo) in sostituzione al gas/metano/gasolio. Quest'ultima soluzione permette di eliminare il contratto con il gas/metano/gasolio ( se si introduce anche il Piano di Cottura ad induzione). 
NB In fase di sopraluogo sarà valutata la soluzione tecnica più idonea (es. due pompe distinte o un unica pompa per entrambi le funzioni.
</t>
        </r>
        <r>
          <rPr>
            <b/>
            <sz val="11"/>
            <rFont val="Tahoma"/>
            <family val="2"/>
          </rPr>
          <t xml:space="preserve">
PdC ACS:</t>
        </r>
        <r>
          <rPr>
            <sz val="11"/>
            <rFont val="Tahoma"/>
            <family val="2"/>
          </rPr>
          <t xml:space="preserve"> s'intende Pompa Di Calore per la produzione di Acqua Calda Sanitaria, per poter spegnere la caldaia da marzo a ottobre.
</t>
        </r>
        <r>
          <rPr>
            <b/>
            <sz val="11"/>
            <rFont val="Tahoma"/>
            <family val="2"/>
          </rPr>
          <t>Solare Termico:</t>
        </r>
        <r>
          <rPr>
            <sz val="11"/>
            <rFont val="Tahoma"/>
            <family val="2"/>
          </rPr>
          <t xml:space="preserve"> S'intende il sistema a pannelli solari che accumula acqua calda in un boiller per poterla utilizzare all'occorrenza come Acqua Calda Sanitaria, è una soluzione adatta a chi non ha molto spazio sul tetto e quindi non può installare un impianto Fotovoltaico particolarmente grande
</t>
        </r>
        <r>
          <rPr>
            <b/>
            <sz val="11"/>
            <rFont val="Tahoma"/>
            <family val="2"/>
          </rPr>
          <t xml:space="preserve">
PdC Risc. + ACS: </t>
        </r>
        <r>
          <rPr>
            <sz val="11"/>
            <rFont val="Tahoma"/>
            <family val="2"/>
          </rPr>
          <t xml:space="preserve">S'intende un sistema completo a pompa di calore per tutto il fabbisogno termico dell'abitazione o dell'edificio, secondo le varie situazioni può essere più idoneo tenere staccate le due funzioni o abbinarle in un'unica macchina
</t>
        </r>
        <r>
          <rPr>
            <b/>
            <sz val="11"/>
            <rFont val="Tahoma"/>
            <family val="2"/>
          </rPr>
          <t>PdC + ST:</t>
        </r>
        <r>
          <rPr>
            <sz val="11"/>
            <rFont val="Tahoma"/>
            <family val="2"/>
          </rPr>
          <t xml:space="preserve"> si intende un sistema con una Pompa di Calore per il riscaldamento, abbinata ad un impianto Solare Termico per la produzione di Acqua Calda Sanitaria, questa soluzione è preferibile per chi ha poco spazio sul tetto</t>
        </r>
      </text>
    </comment>
    <comment ref="B19" authorId="1">
      <text>
        <r>
          <rPr>
            <sz val="11"/>
            <rFont val="Tahoma"/>
            <family val="2"/>
          </rPr>
          <t xml:space="preserve">Se si vuole valutare l'installazione di una </t>
        </r>
        <r>
          <rPr>
            <b/>
            <sz val="11"/>
            <rFont val="Tahoma"/>
            <family val="2"/>
          </rPr>
          <t xml:space="preserve">Pompa di calore per raffrescamento estivo, </t>
        </r>
        <r>
          <rPr>
            <sz val="11"/>
            <rFont val="Tahoma"/>
            <family val="2"/>
          </rPr>
          <t>l'aggiunta di costo è modesta,</t>
        </r>
        <r>
          <rPr>
            <b/>
            <sz val="11"/>
            <rFont val="Tahoma"/>
            <family val="2"/>
          </rPr>
          <t xml:space="preserve"> </t>
        </r>
        <r>
          <rPr>
            <sz val="11"/>
            <rFont val="Tahoma"/>
            <family val="2"/>
          </rPr>
          <t>spesso è possibile utilizzare la PdC per il riscaldamento anche per il condizionamento estivo, (PdC Reversibile)</t>
        </r>
      </text>
    </comment>
    <comment ref="B20" authorId="1">
      <text>
        <r>
          <rPr>
            <b/>
            <sz val="11"/>
            <rFont val="Tahoma"/>
            <family val="2"/>
          </rPr>
          <t xml:space="preserve"> Se si vuole introdurre la Pompa di Calore per il riscaldamento, questa soluzione diventa particolarmente vantaggiosa</t>
        </r>
        <r>
          <rPr>
            <sz val="11"/>
            <rFont val="Tahoma"/>
            <family val="2"/>
          </rPr>
          <t xml:space="preserve"> in quanto permette di eliminare completamente il contratto del gas ad uso cucina.</t>
        </r>
      </text>
    </comment>
    <comment ref="B21" authorId="1">
      <text>
        <r>
          <rPr>
            <sz val="11"/>
            <rFont val="Tahoma"/>
            <family val="2"/>
          </rPr>
          <t xml:space="preserve">Prima di dimensionare i vari impianti (PdC) è opportuno verificare se vi è la necessità e convenienza economica per contenere al massimo la dispersione del calore tramite interventi di coibentazione, infissi, riscaldamento radiante, ecc. </t>
        </r>
        <r>
          <rPr>
            <b/>
            <sz val="11"/>
            <rFont val="Tahoma"/>
            <family val="2"/>
          </rPr>
          <t xml:space="preserve">Questi interventi sono molto vantaggiosi economicamente quando l'ICE (Indice di Consumo Energetico) dell'edificio è superiore alla classe E </t>
        </r>
        <r>
          <rPr>
            <sz val="11"/>
            <rFont val="Tahoma"/>
            <family val="2"/>
          </rPr>
          <t>(più di 120 kWh/mq/anno)</t>
        </r>
        <r>
          <rPr>
            <b/>
            <sz val="11"/>
            <rFont val="Tahoma"/>
            <family val="2"/>
          </rPr>
          <t xml:space="preserve">
Se non si dispone di un preventivo e relativo ICE conseguente, è possibile determinare </t>
        </r>
        <r>
          <rPr>
            <sz val="11"/>
            <rFont val="Tahoma"/>
            <family val="2"/>
          </rPr>
          <t>un costo di massima degli interventi di riqualificazione energetica</t>
        </r>
        <r>
          <rPr>
            <b/>
            <sz val="11"/>
            <rFont val="Tahoma"/>
            <family val="2"/>
          </rPr>
          <t xml:space="preserve">  attraverso l'apposito foglio "Riqualificazione", il valore di stima apparirà in questa riga nella colonna "ipotesi 2" </t>
        </r>
        <r>
          <rPr>
            <sz val="11"/>
            <rFont val="Tahoma"/>
            <family val="2"/>
          </rPr>
          <t>(non è modificabile direttamente ma solo agendo nel foglio "Riqualificazione")</t>
        </r>
        <r>
          <rPr>
            <b/>
            <sz val="11"/>
            <rFont val="Tahoma"/>
            <family val="2"/>
          </rPr>
          <t xml:space="preserve"> e l'ICE conseguente viene riportato, oltre che nel foglio "Riqualificazione", anche in questa riga nei risultati per "Ipotesi 2"
L'ipotesi  1 in questo caso serve per il confronto con sistemi di coibentazione, in quanto introducendo un costo il calcolo non è attivo.</t>
        </r>
      </text>
    </comment>
    <comment ref="B23" authorId="1">
      <text>
        <r>
          <rPr>
            <sz val="11"/>
            <rFont val="Tahoma"/>
            <family val="2"/>
          </rPr>
          <t>Fra pochi anni le batterie raggiungeranno un rapporto costo/benefici che permetterà di poterle introdurre in modo conveniente. Questo consentirà di utilizzare anche nelle ore notturne l'energia prodotta dall' impianto fotovoltaico ed in ogni caso di ottimizzare l'autoconsumo dell'energia prodotta.</t>
        </r>
      </text>
    </comment>
    <comment ref="B22" authorId="1">
      <text>
        <r>
          <rPr>
            <sz val="11"/>
            <rFont val="Tahoma"/>
            <family val="2"/>
          </rPr>
          <t>Questo strumento presenta sostanzialmente due vantaggi:</t>
        </r>
        <r>
          <rPr>
            <b/>
            <sz val="11"/>
            <rFont val="Tahoma"/>
            <family val="2"/>
          </rPr>
          <t xml:space="preserve">
1. gestione automatica dei carichi/picch</t>
        </r>
        <r>
          <rPr>
            <sz val="11"/>
            <rFont val="Tahoma"/>
            <family val="2"/>
          </rPr>
          <t xml:space="preserve">i di energia (necessaria soprattutto in presenza del Piano Cottura)
</t>
        </r>
        <r>
          <rPr>
            <b/>
            <sz val="11"/>
            <rFont val="Tahoma"/>
            <family val="2"/>
          </rPr>
          <t>2. Ottimizzare l'utilizzo dell'energia</t>
        </r>
        <r>
          <rPr>
            <sz val="11"/>
            <rFont val="Tahoma"/>
            <family val="2"/>
          </rPr>
          <t xml:space="preserve"> (programmazione dell'avvio dei vari impianti ed elettrodomestici in base alla produzione di enerergia del proprio impianto)</t>
        </r>
      </text>
    </comment>
    <comment ref="B24" authorId="1">
      <text>
        <r>
          <rPr>
            <sz val="11"/>
            <rFont val="Tahoma"/>
            <family val="2"/>
          </rPr>
          <t xml:space="preserve">Questo pulsante ha principalmente due funzioni:
</t>
        </r>
        <r>
          <rPr>
            <b/>
            <sz val="11"/>
            <rFont val="Tahoma"/>
            <family val="2"/>
          </rPr>
          <t>1. Dimensionare correttamente l'impianto fotovoltaico</t>
        </r>
        <r>
          <rPr>
            <sz val="11"/>
            <rFont val="Tahoma"/>
            <family val="2"/>
          </rPr>
          <t xml:space="preserve"> qualora s'intenda dotarsi, anche in futuro, di un veicolo elettrico
</t>
        </r>
        <r>
          <rPr>
            <b/>
            <sz val="11"/>
            <rFont val="Tahoma"/>
            <family val="2"/>
          </rPr>
          <t>2. simularne i costi/benefici economici</t>
        </r>
        <r>
          <rPr>
            <sz val="11"/>
            <rFont val="Tahoma"/>
            <family val="2"/>
          </rPr>
          <t xml:space="preserve"> di massima negli anni (NB il simulatore mette tra i costi</t>
        </r>
        <r>
          <rPr>
            <b/>
            <sz val="11"/>
            <rFont val="Tahoma"/>
            <family val="2"/>
          </rPr>
          <t xml:space="preserve"> il veicolo</t>
        </r>
        <r>
          <rPr>
            <sz val="11"/>
            <rFont val="Tahoma"/>
            <family val="2"/>
          </rPr>
          <t xml:space="preserve"> e il coinsumo di energia elettrica e tra le entrate il risparmio del carburante)</t>
        </r>
      </text>
    </comment>
    <comment ref="B25" authorId="1">
      <text>
        <r>
          <rPr>
            <b/>
            <sz val="11"/>
            <rFont val="Tahoma"/>
            <family val="2"/>
          </rPr>
          <t>è consigliabile investire in proprio quanto più possibile</t>
        </r>
        <r>
          <rPr>
            <sz val="11"/>
            <rFont val="Tahoma"/>
            <family val="2"/>
          </rPr>
          <t xml:space="preserve"> in quanto il rendimento finanziario di questo investimento è molto vantaggioso. Inserire quindi la percentuale del finanziamento che ritenete di aver bisogno, l'investimento in risparmio energetico è tipicamente conveniente anche con finanziamento del 100%</t>
        </r>
      </text>
    </comment>
    <comment ref="B26" authorId="1">
      <text>
        <r>
          <rPr>
            <sz val="11"/>
            <rFont val="Tahoma"/>
            <family val="2"/>
          </rPr>
          <t>indicare il tasso d’interesse dell'eventuale finanziamento richiesto; nota: i gruppi di acquisto hanno convenzioni con diversi istituti di credito, attualmente i tassi vanno dal 4 al 5% per i tassi variabili e dal 6 al 7% per il tasso fisso</t>
        </r>
      </text>
    </comment>
    <comment ref="B27" authorId="1">
      <text>
        <r>
          <rPr>
            <sz val="11"/>
            <rFont val="Tahoma"/>
            <family val="2"/>
          </rPr>
          <t>Questo pulsante consente tra l'altro di trovare</t>
        </r>
        <r>
          <rPr>
            <b/>
            <sz val="11"/>
            <rFont val="Tahoma"/>
            <family val="2"/>
          </rPr>
          <t xml:space="preserve"> il giusto</t>
        </r>
        <r>
          <rPr>
            <sz val="11"/>
            <rFont val="Tahoma"/>
            <family val="2"/>
          </rPr>
          <t xml:space="preserve"> </t>
        </r>
        <r>
          <rPr>
            <b/>
            <sz val="11"/>
            <rFont val="Tahoma"/>
            <family val="2"/>
          </rPr>
          <t>rapporto tra entrate ed uscite, più idoneo al vostro bilancio familiare,</t>
        </r>
        <r>
          <rPr>
            <sz val="11"/>
            <rFont val="Tahoma"/>
            <family val="2"/>
          </rPr>
          <t xml:space="preserve"> per il periodo di ammortamento iniziale (vedi righe: "Situazione liquidità finanziaria) 
</t>
        </r>
        <r>
          <rPr>
            <b/>
            <sz val="11"/>
            <rFont val="Tahoma"/>
            <family val="2"/>
          </rPr>
          <t>Attenzione!</t>
        </r>
        <r>
          <rPr>
            <sz val="11"/>
            <rFont val="Tahoma"/>
            <family val="2"/>
          </rPr>
          <t xml:space="preserve"> Se si vuole simulare un piano economico senza finanziamento mettere 0% sulla percentuale di finanziamento e un numero di anni vicino
 agli anni di ammortamento </t>
        </r>
      </text>
    </comment>
    <comment ref="B28" authorId="1">
      <text>
        <r>
          <rPr>
            <sz val="11"/>
            <rFont val="Tahoma"/>
            <family val="2"/>
          </rPr>
          <t xml:space="preserve">Lo scopo del simulatore è di dare indicazioni di prospettiva per guadagnare indipendenza energetica;
in tale prospettiva va considerato che </t>
        </r>
        <r>
          <rPr>
            <b/>
            <sz val="11"/>
            <rFont val="Tahoma"/>
            <family val="2"/>
          </rPr>
          <t>l'inflazione media è statisticamente meno della metà dell'aumento del costo dell'energia elettrica, l'inflazione sui carburanti è statisticamente ancora maggiore.</t>
        </r>
        <r>
          <rPr>
            <sz val="11"/>
            <rFont val="Tahoma"/>
            <family val="2"/>
          </rPr>
          <t xml:space="preserve">
Per questo motivo il simulatore propone questa variabile, la quale permette di valutare le conseguenze pratiche anche dal punto di vista economico/inflattivo del guadagno dell'indipendenza energetica: chi adotta sistemi per il risparmio energetico stabilizza in quel momento l'inflazione sul proprio consumo energetico e si mette al riparo da sempre più probabili amare sorprese.
per il calcolo dell'inflazione minima i parametri sono: Inflazione media 2,5% - sull'energia elettrica 4% - sui combustibili 4%
per il calcolo dell'inflazione media i parametri sono: Inflazione media 3,0% - sull'energia elettrica 5% - sui combustibili 6%
per il calcolo dell'inflazione massima i parametri sono: Inflazione media 3,5% - sull'energia elettrica 6% - sui combustibili 8%</t>
        </r>
      </text>
    </comment>
    <comment ref="B29" authorId="0">
      <text>
        <r>
          <rPr>
            <sz val="11"/>
            <rFont val="Tahoma"/>
            <family val="2"/>
          </rPr>
          <t>Premessa: gli impianti e gli interventi in questione hanno tipicamente una durata tra i 20-30 anni e oltre. 
NB ovviamente gli eventuali incentivi e sgravi fiscali sono calcolati secondo le normative attuali.</t>
        </r>
        <r>
          <rPr>
            <sz val="10"/>
            <rFont val="Tahoma"/>
            <family val="2"/>
          </rPr>
          <t xml:space="preserve">
</t>
        </r>
      </text>
    </comment>
    <comment ref="B30" authorId="1">
      <text>
        <r>
          <rPr>
            <sz val="11"/>
            <rFont val="Tahoma"/>
            <family val="2"/>
          </rPr>
          <t>Questo campo può agevolare nell'individuazione veloce della caratteristica principale che distingue una ipotesi dall'altra.</t>
        </r>
      </text>
    </comment>
    <comment ref="M8" authorId="1">
      <text>
        <r>
          <rPr>
            <sz val="11"/>
            <rFont val="Tahoma"/>
            <family val="2"/>
          </rPr>
          <t>Sono compresi i</t>
        </r>
        <r>
          <rPr>
            <b/>
            <sz val="11"/>
            <rFont val="Tahoma"/>
            <family val="2"/>
          </rPr>
          <t xml:space="preserve"> costi iniziali di tutti gli impianti e servizi prescelti.</t>
        </r>
        <r>
          <rPr>
            <sz val="11"/>
            <rFont val="Tahoma"/>
            <family val="2"/>
          </rPr>
          <t xml:space="preserve"> 
I costi sono quelli previsti nei vari Gruppi di acquisto SoleinRete</t>
        </r>
      </text>
    </comment>
    <comment ref="M10" authorId="1">
      <text>
        <r>
          <rPr>
            <sz val="11"/>
            <rFont val="Tahoma"/>
            <family val="2"/>
          </rPr>
          <t xml:space="preserve">Il conteggio prevede:
</t>
        </r>
        <r>
          <rPr>
            <b/>
            <sz val="11"/>
            <rFont val="Tahoma"/>
            <family val="2"/>
          </rPr>
          <t>1. per l'impianto Fotovoltaic</t>
        </r>
        <r>
          <rPr>
            <sz val="11"/>
            <rFont val="Tahoma"/>
            <family val="2"/>
          </rPr>
          <t xml:space="preserve">o sono compresi i costi di manutenzione ordinaria, sostituzione dell'inverter, l'assicurazione.
</t>
        </r>
        <r>
          <rPr>
            <b/>
            <sz val="11"/>
            <rFont val="Tahoma"/>
            <family val="2"/>
          </rPr>
          <t xml:space="preserve">2. </t>
        </r>
        <r>
          <rPr>
            <sz val="11"/>
            <rFont val="Tahoma"/>
            <family val="2"/>
          </rPr>
          <t>per tutti gli altri interventi il costo di manutenzione è tipicamente inferiore al costo di manutenzione del sistema sostituito, ad es. una PdC ha certo meno manutenzione di una caldaia a combustione, per questo motivo non è stato calcolato in quanto altrimenti si sarebbe dovuto inserire un costo di manutenzione negativo</t>
        </r>
      </text>
    </comment>
    <comment ref="M9" authorId="1">
      <text>
        <r>
          <rPr>
            <sz val="11"/>
            <rFont val="Tahoma"/>
            <family val="2"/>
          </rPr>
          <t xml:space="preserve">E' il costo degli interessi calcolato sulla base del tasso precedentemente segnato.
</t>
        </r>
        <r>
          <rPr>
            <b/>
            <sz val="11"/>
            <rFont val="Tahoma"/>
            <family val="2"/>
          </rPr>
          <t>In caso di finanziamento proprio al 100% questo costo si aggiunge al rendimento finanziario</t>
        </r>
      </text>
    </comment>
    <comment ref="M11" authorId="0">
      <text>
        <r>
          <rPr>
            <sz val="11"/>
            <rFont val="Tahoma"/>
            <family val="2"/>
          </rPr>
          <t>Questo costo può essere annullato completamente adottando PdC per riscaldamento assieme a PdC o Solare Termico per la produzione di Acqua Calda Sanitaria e al Piano Cottura ad Induzione
Se si utilizza la simulazione anche per i veicoli elettrici il valore sarà comprensivo del carburante in gioco</t>
        </r>
        <r>
          <rPr>
            <sz val="10"/>
            <rFont val="Tahoma"/>
            <family val="2"/>
          </rPr>
          <t xml:space="preserve">
</t>
        </r>
      </text>
    </comment>
    <comment ref="M12" authorId="1">
      <text>
        <r>
          <rPr>
            <sz val="11"/>
            <rFont val="Tahoma"/>
            <family val="2"/>
          </rPr>
          <t>Premessa: un impianto fotovoltaico dimensionato correttamente sui propri consumi</t>
        </r>
        <r>
          <rPr>
            <b/>
            <sz val="11"/>
            <rFont val="Tahoma"/>
            <family val="2"/>
          </rPr>
          <t xml:space="preserve"> non presuppone l'annullamento del contratto di fornitura dell'energia elettrica </t>
        </r>
        <r>
          <rPr>
            <sz val="11"/>
            <rFont val="Tahoma"/>
            <family val="2"/>
          </rPr>
          <t xml:space="preserve">in quanto l'energia serale, notturna e/o nei picchi di utilizzo deve essere acquistata.
Per questo motivo il costo della bolletta dell'elettricità continuerà ad esserci ma in forma più contenuta (circa -30% e fino a -90% se ci si dota del pacco batterie). </t>
        </r>
        <r>
          <rPr>
            <sz val="8"/>
            <rFont val="Tahoma"/>
            <family val="2"/>
          </rPr>
          <t xml:space="preserve">
</t>
        </r>
      </text>
    </comment>
    <comment ref="M13" authorId="1">
      <text>
        <r>
          <rPr>
            <sz val="11"/>
            <rFont val="Tahoma"/>
            <family val="2"/>
          </rPr>
          <t>Nel calcolo sono previste tutte le entrate derivanti dagli incentivi sul Fotovoltaico</t>
        </r>
        <r>
          <rPr>
            <sz val="8"/>
            <rFont val="Tahoma"/>
            <family val="2"/>
          </rPr>
          <t xml:space="preserve">
</t>
        </r>
      </text>
    </comment>
    <comment ref="M14" authorId="1">
      <text>
        <r>
          <rPr>
            <sz val="11"/>
            <rFont val="Tahoma"/>
            <family val="2"/>
          </rPr>
          <t>Gli sgravi fiscali sono possibili per linstallazione di PdC, per interventi di risparmio energetico, per il fotovoltaico ( in alternativa al Conto Energia) e per gli infissi.
Il sistema della detrazione fiscale assicura all'utilizzatore il sicuro godimento degli incentivi in quanto non si devono ricevere versamenti ma invece ci si detrae dalle imposte quanto spettante.</t>
        </r>
        <r>
          <rPr>
            <sz val="8"/>
            <rFont val="Tahoma"/>
            <family val="2"/>
          </rPr>
          <t xml:space="preserve">
</t>
        </r>
      </text>
    </comment>
    <comment ref="M16" authorId="1">
      <text>
        <r>
          <rPr>
            <sz val="11"/>
            <rFont val="Tahoma"/>
            <family val="2"/>
          </rPr>
          <t>Per dare evidenza alla non indifferente incidenza della questione inflattiva si raccoglie in questa unica voce il parametro dell'inflazione complessiva.
Per i dettagli si rimanda al foglio "Inflazione"</t>
        </r>
      </text>
    </comment>
    <comment ref="M19" authorId="0">
      <text>
        <r>
          <rPr>
            <sz val="11"/>
            <rFont val="Tahoma"/>
            <family val="2"/>
          </rPr>
          <t>Il guadagno è la somma delle entrate e dei risparmi, detratti tutti i costi</t>
        </r>
      </text>
    </comment>
    <comment ref="M20" authorId="1">
      <text>
        <r>
          <rPr>
            <sz val="11"/>
            <rFont val="Tahoma"/>
            <family val="2"/>
          </rPr>
          <t>E' da intendersi l'autonomia energetica legata all'abitazione (NB compresa l'energia per la ricarica dei veicoli elettrici, qualora si sia scelto queste opzioni). 
Il consumo energetico complessivo dei veicoli posseduti non è considerato e può essere valutato con l'apposito simulatore.</t>
        </r>
      </text>
    </comment>
    <comment ref="M22" authorId="1">
      <text>
        <r>
          <rPr>
            <sz val="11"/>
            <rFont val="Tahoma"/>
            <family val="2"/>
          </rPr>
          <t>Ovviamente se si finanzia l'investimento iniziale con denaro proprio il tempo di ammortamento sarà più breve, per effetto degli interessi il prestito allunga il tempo di ammortamento.</t>
        </r>
      </text>
    </comment>
    <comment ref="M24" authorId="1">
      <text>
        <r>
          <rPr>
            <sz val="11"/>
            <rFont val="Tahoma"/>
            <family val="2"/>
          </rPr>
          <t>S'intende il risparmio effettivo del costo delle bollette nell'insieme del periodo di riferimento</t>
        </r>
      </text>
    </comment>
    <comment ref="M26" authorId="0">
      <text>
        <r>
          <rPr>
            <sz val="11"/>
            <rFont val="Tahoma"/>
            <family val="2"/>
          </rPr>
          <t>Il valore calcola il costo residuo detraendo dai costi complessivi (bollette, manutenzione, eventuali rate, ecc.) le entrate date dagli incentivi e sgravi fiscali.
E' calcolato nel periodo relativo alla durata indicata quale periodo del prestito</t>
        </r>
      </text>
    </comment>
    <comment ref="M27" authorId="0">
      <text>
        <r>
          <rPr>
            <sz val="11"/>
            <rFont val="Tahoma"/>
            <family val="2"/>
          </rPr>
          <t>Il valore calcola il costo residuo detraendo dai costi complessivi (bollette, manutenzione, eventuali rate, ecc.) le entrate date dagli incentivi e sgravi fiscali.
E' calcolato nel periodo successivo alla scadenza del prestito e fino all'anno indicato quale durata degli impianti</t>
        </r>
        <r>
          <rPr>
            <sz val="10"/>
            <rFont val="Tahoma"/>
            <family val="2"/>
          </rPr>
          <t xml:space="preserve">
</t>
        </r>
      </text>
    </comment>
    <comment ref="M28" authorId="0">
      <text>
        <r>
          <rPr>
            <sz val="11"/>
            <rFont val="Tahoma"/>
            <family val="2"/>
          </rPr>
          <t>Ovviamente questo guadagno può essere sostanzialmente realizzato dal primo anno se l'investimento è fatto con fondi propri.</t>
        </r>
        <r>
          <rPr>
            <sz val="10"/>
            <rFont val="Tahoma"/>
            <family val="2"/>
          </rPr>
          <t xml:space="preserve">
</t>
        </r>
      </text>
    </comment>
    <comment ref="M30" authorId="0">
      <text>
        <r>
          <rPr>
            <sz val="11"/>
            <rFont val="Tahoma"/>
            <family val="2"/>
          </rPr>
          <t>Producendo parte o tutta l'energia del proprio fabbisogno con un impianto fotovoltaico o riducendo i consumi con PdC o con interventi di risparmio energetico le immissioni in atmosfera si riducono drasticamente.</t>
        </r>
        <r>
          <rPr>
            <sz val="10"/>
            <rFont val="Tahoma"/>
            <family val="2"/>
          </rPr>
          <t xml:space="preserve">
</t>
        </r>
      </text>
    </comment>
    <comment ref="M21" authorId="2">
      <text>
        <r>
          <rPr>
            <sz val="11"/>
            <rFont val="Tahoma"/>
            <family val="2"/>
          </rPr>
          <t>Il rendimento finanziario è calcolato sull'effettivo investimento in proprio, se l'investimento è effettuato al 100% con prestito il rendimento finanziario è calcolato sul 10% del costo degli impianti</t>
        </r>
      </text>
    </comment>
    <comment ref="M23" authorId="2">
      <text>
        <r>
          <rPr>
            <sz val="11"/>
            <rFont val="Tahoma"/>
            <family val="2"/>
          </rPr>
          <t>L'indice di Consumo Energetico è l'indicatore dell'efficienza energetica dell'abitazione: più basso è il valore e meno energia è necessaria per il comfort abitativo. È calcolato in chilovattora per ogni metro quadrato di superficie riscaldata dell'abitazione in un anno (kWh/m2/anno). Si abbassa per effetto del minor consumo di energia che permetta però un pari livello di comfort.</t>
        </r>
        <r>
          <rPr>
            <sz val="9"/>
            <rFont val="Tahoma"/>
            <family val="2"/>
          </rPr>
          <t xml:space="preserve">
</t>
        </r>
      </text>
    </comment>
    <comment ref="M31" authorId="2">
      <text>
        <r>
          <rPr>
            <sz val="11"/>
            <rFont val="Tahoma"/>
            <family val="2"/>
          </rPr>
          <t>Producendo parte o tutta l'energia del proprio fabbisogno con un impianto fotovoltaico o riducendo i consumi con PdC o con interventi di risparmio energetico le immissioni in atmosfera si riducono drasticamente.
Le polveri sottili sono causa di gravi patologie, anche letali</t>
        </r>
      </text>
    </comment>
  </commentList>
</comments>
</file>

<file path=xl/comments2.xml><?xml version="1.0" encoding="utf-8"?>
<comments xmlns="http://schemas.openxmlformats.org/spreadsheetml/2006/main">
  <authors>
    <author>Francesco</author>
  </authors>
  <commentList>
    <comment ref="B27" authorId="0">
      <text>
        <r>
          <rPr>
            <sz val="11"/>
            <rFont val="Tahoma"/>
            <family val="2"/>
          </rPr>
          <t>Il simulatore calcola un ICE medio statistico qualora si ipotizzino interventi di riqualificazione energetica, se si possiede un preventivo di riqualificazione energetica e un relativo ICE conseguente agli interventi usare il costo del preventivo nel simulatore e inserire qui l'ICE indicato dal professionista per 
integrare il tutto nella simulazione</t>
        </r>
        <r>
          <rPr>
            <sz val="9"/>
            <rFont val="Tahoma"/>
            <family val="2"/>
          </rPr>
          <t xml:space="preserve">
</t>
        </r>
      </text>
    </comment>
  </commentList>
</comments>
</file>

<file path=xl/sharedStrings.xml><?xml version="1.0" encoding="utf-8"?>
<sst xmlns="http://schemas.openxmlformats.org/spreadsheetml/2006/main" count="1768" uniqueCount="910">
  <si>
    <t>Rata mensile</t>
  </si>
  <si>
    <t>anni</t>
  </si>
  <si>
    <t>Interessi</t>
  </si>
  <si>
    <r>
      <t>3 ≤ P ≤ 20</t>
    </r>
  </si>
  <si>
    <t>20 ≤ P ≤ 200</t>
  </si>
  <si>
    <t>200 ≤ P ≤ 1000</t>
  </si>
  <si>
    <t>P &gt; 5000</t>
  </si>
  <si>
    <t>1/Pu</t>
  </si>
  <si>
    <t>Pu/kWp</t>
  </si>
  <si>
    <t>Log Pu</t>
  </si>
  <si>
    <t>Cu calc</t>
  </si>
  <si>
    <t>Err %</t>
  </si>
  <si>
    <t>OUTPUT RIEPILOGO</t>
  </si>
  <si>
    <t>Statistica della regressione</t>
  </si>
  <si>
    <t>R multiplo</t>
  </si>
  <si>
    <t>R al quadrato</t>
  </si>
  <si>
    <t>R al quadrato corretto</t>
  </si>
  <si>
    <t>Errore standard</t>
  </si>
  <si>
    <t>Osservazioni</t>
  </si>
  <si>
    <t>ANALISI VARIANZA</t>
  </si>
  <si>
    <t>gdl</t>
  </si>
  <si>
    <t>SQ</t>
  </si>
  <si>
    <t>MQ</t>
  </si>
  <si>
    <t>F</t>
  </si>
  <si>
    <t>Significatività F</t>
  </si>
  <si>
    <t>Regressione</t>
  </si>
  <si>
    <t>Residuo</t>
  </si>
  <si>
    <t>Totale</t>
  </si>
  <si>
    <t>Coefficienti</t>
  </si>
  <si>
    <t>Stat t</t>
  </si>
  <si>
    <t>Valore di significatività</t>
  </si>
  <si>
    <t>Inferiore 95%</t>
  </si>
  <si>
    <t>Superiore 95%</t>
  </si>
  <si>
    <t>Inferiore 95,0%</t>
  </si>
  <si>
    <t>Superiore 95,0%</t>
  </si>
  <si>
    <t>Intercetta</t>
  </si>
  <si>
    <t>kWp</t>
  </si>
  <si>
    <t>Contributo kWp EnergoClub</t>
  </si>
  <si>
    <t>Potenza nominale impianto 
[kWp]</t>
  </si>
  <si>
    <t>Costo unitario imponibile Fornitore €/kWp</t>
  </si>
  <si>
    <t>Totale  imponibile 
Fornitore 
€/impianto</t>
  </si>
  <si>
    <t>Corrispettivo kWp
Ditta Service</t>
  </si>
  <si>
    <t>Costo unitario imponibile S.R. €/kWp</t>
  </si>
  <si>
    <t>Totale  imponibile 
S.R.
€/impianto</t>
  </si>
  <si>
    <t>Totale IVA e contributo GAF a carico del S.R
€/kWp</t>
  </si>
  <si>
    <t>Totale IVA e contributo GAF a carico del S.R
€/impianto</t>
  </si>
  <si>
    <t>costo energia elettrica</t>
  </si>
  <si>
    <t>COP</t>
  </si>
  <si>
    <t>Piano induzione</t>
  </si>
  <si>
    <t>Regione</t>
  </si>
  <si>
    <t>Potenza</t>
  </si>
  <si>
    <t>no</t>
  </si>
  <si>
    <t>SSP</t>
  </si>
  <si>
    <t>autoconsumo</t>
  </si>
  <si>
    <t>Scambiata</t>
  </si>
  <si>
    <t>Inflazione</t>
  </si>
  <si>
    <t>auto attuale</t>
  </si>
  <si>
    <t>auto  dal 2014</t>
  </si>
  <si>
    <t>scooter</t>
  </si>
  <si>
    <t>bici</t>
  </si>
  <si>
    <t>costo</t>
  </si>
  <si>
    <t>consumo energia elettrica</t>
  </si>
  <si>
    <t>Edificio</t>
  </si>
  <si>
    <t>Altro</t>
  </si>
  <si>
    <t>Autoconsumo</t>
  </si>
  <si>
    <t>&gt;200</t>
  </si>
  <si>
    <t>Incentivi 5° Conto Energia fino a fine 2012</t>
  </si>
  <si>
    <t>incentivo innovativo</t>
  </si>
  <si>
    <t>TO</t>
  </si>
  <si>
    <t>AC</t>
  </si>
  <si>
    <t>Condizioni economiche per i clienti del Servizio di maggior tutela</t>
  </si>
  <si>
    <t xml:space="preserve"> Valori al netto delle imposte</t>
  </si>
  <si>
    <t>dal 1 luglio 2012</t>
  </si>
  <si>
    <t>CLIENTI DOMESTICI</t>
  </si>
  <si>
    <t>potenza 
contratto enel</t>
  </si>
  <si>
    <t>Consumo 
annuo
prima</t>
  </si>
  <si>
    <t>percentuale
autoconsumo</t>
  </si>
  <si>
    <t>Costo medio
 kWh prima</t>
  </si>
  <si>
    <t>Costo medio
 kWh dopo</t>
  </si>
  <si>
    <t>Bolletta
 annua
 prima</t>
  </si>
  <si>
    <t>Bolletta
 annua
dopo</t>
  </si>
  <si>
    <t>Consumo 
annuo
dopo</t>
  </si>
  <si>
    <t>kW</t>
  </si>
  <si>
    <t>kWh/anno</t>
  </si>
  <si>
    <t>input</t>
  </si>
  <si>
    <t>output</t>
  </si>
  <si>
    <t>A) Abitazione di residenza anagrafica con potenza impegnata fino a 3 kW</t>
  </si>
  <si>
    <t>Servizi di vendita</t>
  </si>
  <si>
    <t>Servizi
di rete</t>
  </si>
  <si>
    <t>Oneri generali</t>
  </si>
  <si>
    <t>TOTALE</t>
  </si>
  <si>
    <t>potenza contratto</t>
  </si>
  <si>
    <t>Monorario</t>
  </si>
  <si>
    <t>Biorario</t>
  </si>
  <si>
    <t>F1</t>
  </si>
  <si>
    <t>F23</t>
  </si>
  <si>
    <t>Quota energia (€/kWh)</t>
  </si>
  <si>
    <t>fascia unica</t>
  </si>
  <si>
    <t>fascia F1</t>
  </si>
  <si>
    <t>fascia F23</t>
  </si>
  <si>
    <t>oneri</t>
  </si>
  <si>
    <t>Costo kWh 
medio senza fissi</t>
  </si>
  <si>
    <t>Costo 
kWh
 fissi</t>
  </si>
  <si>
    <t>Costo 
totale kWh</t>
  </si>
  <si>
    <t>kWh/anno: da 0 a 1800</t>
  </si>
  <si>
    <t>da 1801 a 2640</t>
  </si>
  <si>
    <t>da 2641 a 4440</t>
  </si>
  <si>
    <t>da 4441</t>
  </si>
  <si>
    <t>media</t>
  </si>
  <si>
    <t>Quota fissa (€/anno)</t>
  </si>
  <si>
    <t>Quota potenza (€/kW/anno)</t>
  </si>
  <si>
    <t>B) Abitazione di residenza anagrafica con potenza impegnata superiore a 3 kW o abitazione diversa dalla residenza anagrafica</t>
  </si>
  <si>
    <t>CLIENTI NON DOMESTICI</t>
  </si>
  <si>
    <t>A) Utenze con potenza disponibile fino a 16,5 kW</t>
  </si>
  <si>
    <t xml:space="preserve"> - per potenze impegnate inferiori o uguali a 1.5 kW</t>
  </si>
  <si>
    <t>Oneri generali *</t>
  </si>
  <si>
    <t>fascia F2</t>
  </si>
  <si>
    <t>fascia F3</t>
  </si>
  <si>
    <t>luglio 2012</t>
  </si>
  <si>
    <t>agosto 2012</t>
  </si>
  <si>
    <t>settembre 2012</t>
  </si>
  <si>
    <t xml:space="preserve"> - per potenze impegnate superiori a 1.5 kW e inferiori o uguali a 3 kW</t>
  </si>
  <si>
    <t xml:space="preserve"> - per potenze impegnate superiori a 3 kW e inferiori o uguali a 6 kW</t>
  </si>
  <si>
    <t xml:space="preserve"> - per potenze impegnate superiori a 6 kW</t>
  </si>
  <si>
    <t>B) Utenze con potenza disponibile superiore a 16,5 kW</t>
  </si>
  <si>
    <t>Potenza 
impianto</t>
  </si>
  <si>
    <t>produzione 
per kWp</t>
  </si>
  <si>
    <t>kWh/kWp</t>
  </si>
  <si>
    <t>produzione
 totale</t>
  </si>
  <si>
    <t>kWh</t>
  </si>
  <si>
    <t>Risparmio 
bolletta</t>
  </si>
  <si>
    <t>tot TO 
20 anni</t>
  </si>
  <si>
    <t>tot AC 
20 anni</t>
  </si>
  <si>
    <t>Costo 
impianto</t>
  </si>
  <si>
    <t>Altri costi 
(ass. manut.)</t>
  </si>
  <si>
    <t>Ricavi e
beneficio</t>
  </si>
  <si>
    <t>Guadagno
 totale</t>
  </si>
  <si>
    <t>tempo 
rientro</t>
  </si>
  <si>
    <t>€</t>
  </si>
  <si>
    <t>premio 
TO</t>
  </si>
  <si>
    <t>Premio 
AC</t>
  </si>
  <si>
    <t>percentuale
consumo F1</t>
  </si>
  <si>
    <t>Quadro economico impianto fotovoltaico</t>
  </si>
  <si>
    <t>Quadro economico bolletta energia elettrica</t>
  </si>
  <si>
    <t>Risparmio combustibile</t>
  </si>
  <si>
    <t>Incentivi e sgravi fiscali</t>
  </si>
  <si>
    <t>PdC</t>
  </si>
  <si>
    <t>Rendimento</t>
  </si>
  <si>
    <t>Coibentazione</t>
  </si>
  <si>
    <t>Veicoli elettrici</t>
  </si>
  <si>
    <t>Batterie</t>
  </si>
  <si>
    <t>Tipo incentivo</t>
  </si>
  <si>
    <t>PdC ACS</t>
  </si>
  <si>
    <t>EU</t>
  </si>
  <si>
    <t>incentivo standard</t>
  </si>
  <si>
    <t>produzione 
20 anni</t>
  </si>
  <si>
    <t>assicur.</t>
  </si>
  <si>
    <t>inverter</t>
  </si>
  <si>
    <t>manut.</t>
  </si>
  <si>
    <t>Entrate</t>
  </si>
  <si>
    <t>Spese</t>
  </si>
  <si>
    <t>CE ST</t>
  </si>
  <si>
    <t>CE INN</t>
  </si>
  <si>
    <t>Impianto</t>
  </si>
  <si>
    <t>PdC risc.</t>
  </si>
  <si>
    <t>PdC cond.</t>
  </si>
  <si>
    <t>ICE</t>
  </si>
  <si>
    <t>mq risc.</t>
  </si>
  <si>
    <t>Costo</t>
  </si>
  <si>
    <t>km anno</t>
  </si>
  <si>
    <t>AC base</t>
  </si>
  <si>
    <t>costo km auto benzina</t>
  </si>
  <si>
    <t>costo km auto elettrica</t>
  </si>
  <si>
    <t>risparmio carburante anno</t>
  </si>
  <si>
    <t>km/kWh</t>
  </si>
  <si>
    <t>km/litro</t>
  </si>
  <si>
    <t>costo km scooter elettrico</t>
  </si>
  <si>
    <t>costo km scooter benzina</t>
  </si>
  <si>
    <t>costo km bici elettrica</t>
  </si>
  <si>
    <t>costo km veicolo alternativo</t>
  </si>
  <si>
    <t>costo veicolo</t>
  </si>
  <si>
    <t>costo km veicolo elettrico</t>
  </si>
  <si>
    <t>costo km veicolo benzina</t>
  </si>
  <si>
    <t>Veicolo elettrico</t>
  </si>
  <si>
    <t>ricavo</t>
  </si>
  <si>
    <t>Produzione</t>
  </si>
  <si>
    <t>Investimento</t>
  </si>
  <si>
    <t>Investimento +guadagno</t>
  </si>
  <si>
    <t>Anni ammortamento</t>
  </si>
  <si>
    <t>Manutenzione</t>
  </si>
  <si>
    <t>guad.</t>
  </si>
  <si>
    <t>FV</t>
  </si>
  <si>
    <t>+ PdC</t>
  </si>
  <si>
    <t>+ coib.</t>
  </si>
  <si>
    <t>+ p. c. ind.</t>
  </si>
  <si>
    <t>+ auto</t>
  </si>
  <si>
    <t>+ scooter</t>
  </si>
  <si>
    <t>+ bici</t>
  </si>
  <si>
    <t>+ batterie</t>
  </si>
  <si>
    <t>Rata annua (a cui vanno detrate le entrate):</t>
  </si>
  <si>
    <t>Autonomia energetica</t>
  </si>
  <si>
    <t xml:space="preserve"> </t>
  </si>
  <si>
    <t>kWh litro</t>
  </si>
  <si>
    <t>consumo kWhc</t>
  </si>
  <si>
    <t>consumo kWhe</t>
  </si>
  <si>
    <t>Detrazione</t>
  </si>
  <si>
    <t>variazione costo kWp</t>
  </si>
  <si>
    <t>inflazione media</t>
  </si>
  <si>
    <t>inflazione e.e.</t>
  </si>
  <si>
    <t>inflazione combustibili</t>
  </si>
  <si>
    <t>COP PdC ACS</t>
  </si>
  <si>
    <t>COP PdC risc.</t>
  </si>
  <si>
    <t>costo kWp FV</t>
  </si>
  <si>
    <t>Costo totale FV</t>
  </si>
  <si>
    <t>Produzione kWh/kWp/anno</t>
  </si>
  <si>
    <t>kWh/kWp/anno</t>
  </si>
  <si>
    <t>Costo PdC</t>
  </si>
  <si>
    <t>Variazione costo PdC</t>
  </si>
  <si>
    <t xml:space="preserve">   Dati in evidenza</t>
  </si>
  <si>
    <t xml:space="preserve">  Dati Variabili</t>
  </si>
  <si>
    <t xml:space="preserve">Prontuario per operatori SoleinRete </t>
  </si>
  <si>
    <t>Default</t>
  </si>
  <si>
    <t>Variaz. Autocons. base</t>
  </si>
  <si>
    <t>Autoconsumo base</t>
  </si>
  <si>
    <t>SITUAZIONE INIZIALE</t>
  </si>
  <si>
    <t>Impianto Riscald. primario</t>
  </si>
  <si>
    <t>N° residenti</t>
  </si>
  <si>
    <t>Tipologia Combustibile</t>
  </si>
  <si>
    <t>Costo anno Combustibile</t>
  </si>
  <si>
    <t>Costo INTERESSI</t>
  </si>
  <si>
    <t>Contratto energia elettr. kW</t>
  </si>
  <si>
    <t>kWh anno Energia Elettrica</t>
  </si>
  <si>
    <t>Costo BOLLETTE ENERGIA ELETTRICA</t>
  </si>
  <si>
    <t>DATI VARIABILI</t>
  </si>
  <si>
    <t>Risparmi SGRAVI FISCALI</t>
  </si>
  <si>
    <t>Potenza impianto Fotovoltaico kWp</t>
  </si>
  <si>
    <t xml:space="preserve">Tipologia incentivo </t>
  </si>
  <si>
    <t>Piano di Cottura ad induzione</t>
  </si>
  <si>
    <t xml:space="preserve">Costo riqualificazione Energetica </t>
  </si>
  <si>
    <t xml:space="preserve">Domotica: Sistema di ottimizzazione carichi </t>
  </si>
  <si>
    <t>ANNI DI AMMORTAMENTO</t>
  </si>
  <si>
    <t>Accolumulatori (batterie)</t>
  </si>
  <si>
    <t>Veicoli Elettrici</t>
  </si>
  <si>
    <t>Percentuale prestito istituto di credito</t>
  </si>
  <si>
    <t>Tasso interesse medio del prestito</t>
  </si>
  <si>
    <t>Durata finanziamento</t>
  </si>
  <si>
    <t xml:space="preserve">Calcolo Inflazione </t>
  </si>
  <si>
    <r>
      <t xml:space="preserve">N° anni Piano Economico </t>
    </r>
    <r>
      <rPr>
        <sz val="8"/>
        <rFont val="Calibri"/>
        <family val="2"/>
      </rPr>
      <t>(simulazione costi/benefici)</t>
    </r>
  </si>
  <si>
    <r>
      <t>ipotesi</t>
    </r>
    <r>
      <rPr>
        <sz val="11"/>
        <color indexed="9"/>
        <rFont val="Calibri"/>
        <family val="2"/>
      </rPr>
      <t xml:space="preserve"> </t>
    </r>
    <r>
      <rPr>
        <b/>
        <sz val="12"/>
        <color indexed="9"/>
        <rFont val="Calibri"/>
        <family val="2"/>
      </rPr>
      <t>1</t>
    </r>
  </si>
  <si>
    <r>
      <t>ipotesi</t>
    </r>
    <r>
      <rPr>
        <sz val="11"/>
        <color indexed="9"/>
        <rFont val="Calibri"/>
        <family val="2"/>
      </rPr>
      <t xml:space="preserve"> </t>
    </r>
    <r>
      <rPr>
        <b/>
        <sz val="12"/>
        <color indexed="9"/>
        <rFont val="Calibri"/>
        <family val="2"/>
      </rPr>
      <t>2</t>
    </r>
  </si>
  <si>
    <t>Controllo bilancio</t>
  </si>
  <si>
    <t>Investimento minimo</t>
  </si>
  <si>
    <t>Investimento effettivo</t>
  </si>
  <si>
    <t>Investimento teorico</t>
  </si>
  <si>
    <t>detrazioni</t>
  </si>
  <si>
    <t>finanziamento</t>
  </si>
  <si>
    <t>bilancio periodo prestito</t>
  </si>
  <si>
    <t>bilancio senza inflazione</t>
  </si>
  <si>
    <t>Bruciatore a legna o pellet</t>
  </si>
  <si>
    <t>kg legna o pellet all'anno</t>
  </si>
  <si>
    <t>caldaia a legna</t>
  </si>
  <si>
    <t>caldaia a pellet</t>
  </si>
  <si>
    <t>ad aria a legna</t>
  </si>
  <si>
    <t>ad aria a pellet</t>
  </si>
  <si>
    <t>Condizionatore</t>
  </si>
  <si>
    <t>Bruciatore</t>
  </si>
  <si>
    <t>Domotica</t>
  </si>
  <si>
    <t xml:space="preserve">      Abruzzo</t>
  </si>
  <si>
    <t xml:space="preserve">          Aosta</t>
  </si>
  <si>
    <t xml:space="preserve">      Basilicata</t>
  </si>
  <si>
    <t xml:space="preserve">       Calabria</t>
  </si>
  <si>
    <t xml:space="preserve">     Campania</t>
  </si>
  <si>
    <t>Emilia Romagna</t>
  </si>
  <si>
    <t xml:space="preserve">    Friuli V. G.</t>
  </si>
  <si>
    <t xml:space="preserve">    Lombardia</t>
  </si>
  <si>
    <t xml:space="preserve">      Puglia</t>
  </si>
  <si>
    <t xml:space="preserve">         Veneto</t>
  </si>
  <si>
    <t xml:space="preserve">         Umbria</t>
  </si>
  <si>
    <t xml:space="preserve">  Trentino A.A.</t>
  </si>
  <si>
    <t xml:space="preserve">       Molise</t>
  </si>
  <si>
    <t xml:space="preserve">       Marche</t>
  </si>
  <si>
    <t xml:space="preserve">      Liguria</t>
  </si>
  <si>
    <t xml:space="preserve">        Lazio</t>
  </si>
  <si>
    <t xml:space="preserve">     Sardegna</t>
  </si>
  <si>
    <t xml:space="preserve">      Toscana</t>
  </si>
  <si>
    <t xml:space="preserve">        Sicilia</t>
  </si>
  <si>
    <t xml:space="preserve">      Piemonte</t>
  </si>
  <si>
    <t xml:space="preserve">     5° CE innovativo</t>
  </si>
  <si>
    <t xml:space="preserve">      detrazione 36%</t>
  </si>
  <si>
    <t xml:space="preserve">      detrazione 50%</t>
  </si>
  <si>
    <t xml:space="preserve">        5° CE standard</t>
  </si>
  <si>
    <t xml:space="preserve">             PdC ACS</t>
  </si>
  <si>
    <t xml:space="preserve">                   No</t>
  </si>
  <si>
    <t xml:space="preserve">                   Si</t>
  </si>
  <si>
    <t xml:space="preserve">         non interessa</t>
  </si>
  <si>
    <t xml:space="preserve">          già esistente</t>
  </si>
  <si>
    <t xml:space="preserve">           da installare</t>
  </si>
  <si>
    <t xml:space="preserve">                  no</t>
  </si>
  <si>
    <t xml:space="preserve">      al costo attuale</t>
  </si>
  <si>
    <t xml:space="preserve">        costi dal 2014</t>
  </si>
  <si>
    <t xml:space="preserve">        costi dal 2018</t>
  </si>
  <si>
    <t xml:space="preserve">        auto  dal 2014</t>
  </si>
  <si>
    <t xml:space="preserve">         auto attuale</t>
  </si>
  <si>
    <t xml:space="preserve">              scooter</t>
  </si>
  <si>
    <t xml:space="preserve">                 bici</t>
  </si>
  <si>
    <t xml:space="preserve"> RISULTATI SIMULAZIONE</t>
  </si>
  <si>
    <t>Costo BOLLETTE COMBUSTIBILI</t>
  </si>
  <si>
    <t xml:space="preserve">                  No</t>
  </si>
  <si>
    <t>Prestito</t>
  </si>
  <si>
    <t>Tasso Interessi</t>
  </si>
  <si>
    <t>Durata</t>
  </si>
  <si>
    <t>Inflazione periodo</t>
  </si>
  <si>
    <t>Tasso Inflazione</t>
  </si>
  <si>
    <t>costo mensile</t>
  </si>
  <si>
    <t>costo + inflazione</t>
  </si>
  <si>
    <t>Prestito + interessi</t>
  </si>
  <si>
    <t>Ipotesi 1</t>
  </si>
  <si>
    <t>Ipotesi 2</t>
  </si>
  <si>
    <t>Ipotesi 3</t>
  </si>
  <si>
    <t>Ipotesi 4</t>
  </si>
  <si>
    <t>Potenza impianto</t>
  </si>
  <si>
    <t>Costo unitario finale</t>
  </si>
  <si>
    <t>Costo totale finale</t>
  </si>
  <si>
    <t>Imp. Unit. Forn.</t>
  </si>
  <si>
    <t>Imp. Tot. Fornitore</t>
  </si>
  <si>
    <t>Contributo kWp EC</t>
  </si>
  <si>
    <t>Contributo tot EC</t>
  </si>
  <si>
    <t>Contributo kWp AG</t>
  </si>
  <si>
    <t>Contributo tot AG</t>
  </si>
  <si>
    <t>Pompa di Calore per</t>
  </si>
  <si>
    <t>persone</t>
  </si>
  <si>
    <t>Coeffic.</t>
  </si>
  <si>
    <t>Fabbisogno ACS per residente kWht</t>
  </si>
  <si>
    <t>PDC risc.</t>
  </si>
  <si>
    <t>si</t>
  </si>
  <si>
    <t>Costo condizionatore</t>
  </si>
  <si>
    <t>ACS</t>
  </si>
  <si>
    <t>Risc</t>
  </si>
  <si>
    <t>Costo PdC ACS</t>
  </si>
  <si>
    <t>Costo  PdC risc.</t>
  </si>
  <si>
    <t>Consumo PdC ACS</t>
  </si>
  <si>
    <t>Consumo PdC risc.</t>
  </si>
  <si>
    <t>Consumo PdC cond.</t>
  </si>
  <si>
    <t>Pompa di Calore, sistemi di riscaldamento</t>
  </si>
  <si>
    <t>Soluzione selezionata</t>
  </si>
  <si>
    <t xml:space="preserve">      Solare Termico</t>
  </si>
  <si>
    <t xml:space="preserve">   PdC riscaldamento</t>
  </si>
  <si>
    <t xml:space="preserve">      PdC risc. + ACS</t>
  </si>
  <si>
    <t xml:space="preserve">        PdC risc. + ST</t>
  </si>
  <si>
    <t>ST</t>
  </si>
  <si>
    <t>Risc+ACS</t>
  </si>
  <si>
    <t>Risc+ST</t>
  </si>
  <si>
    <t>Costo Solare Term.</t>
  </si>
  <si>
    <t>PdC risc + ACS</t>
  </si>
  <si>
    <t>PdC risc + ST</t>
  </si>
  <si>
    <t>Apporti solare termico</t>
  </si>
  <si>
    <t>Consumo PdC risc. + ACS</t>
  </si>
  <si>
    <t>Consumo PdC risc. + ST</t>
  </si>
  <si>
    <t>Consumo  Totale Termico kWhe</t>
  </si>
  <si>
    <t>AutoConsumo PdC risc.</t>
  </si>
  <si>
    <t>AutoConsumo PdC ACS</t>
  </si>
  <si>
    <t>AutoConsumo PdC risc. + ACS</t>
  </si>
  <si>
    <t>AutoConsumo PdC risc. + ST</t>
  </si>
  <si>
    <t>AutoConsumo PdC cond.</t>
  </si>
  <si>
    <t>Costo Totale Impianto Termico</t>
  </si>
  <si>
    <t>Prelievi kWhe per riscaldamento</t>
  </si>
  <si>
    <t>Impianto di riscaldamento e raffrescamento</t>
  </si>
  <si>
    <t>Risparmio kWh/mq/anno</t>
  </si>
  <si>
    <t>Risparmio kWht/anno</t>
  </si>
  <si>
    <t>Risparmio kWht tutto il periodo (24 anni?)</t>
  </si>
  <si>
    <t>Risparmio Euro tutto il periodo</t>
  </si>
  <si>
    <t>fisso yr</t>
  </si>
  <si>
    <t>risc. Yr</t>
  </si>
  <si>
    <t>Cucina yr</t>
  </si>
  <si>
    <t>periodo risc.</t>
  </si>
  <si>
    <t>Periodo</t>
  </si>
  <si>
    <t>Tot. periodo</t>
  </si>
  <si>
    <t>Piano ad induzione</t>
  </si>
  <si>
    <t>Costo euro anno</t>
  </si>
  <si>
    <t>Consumo en el anno kWh</t>
  </si>
  <si>
    <t>Consumo en el periodo kWh</t>
  </si>
  <si>
    <t>Autoconsumo kWhe periodo</t>
  </si>
  <si>
    <t>Prelievi dalla rete kWhe periodo</t>
  </si>
  <si>
    <t>Energia elettrica</t>
  </si>
  <si>
    <t xml:space="preserve">        si, già esistente</t>
  </si>
  <si>
    <t xml:space="preserve">         si, da installare</t>
  </si>
  <si>
    <t xml:space="preserve">          no, non serve</t>
  </si>
  <si>
    <t>AutoConsumo totale di base kWh</t>
  </si>
  <si>
    <t>Fabbisogno totale di base kWh</t>
  </si>
  <si>
    <t>AutoConsumo totale sistema termico</t>
  </si>
  <si>
    <t>Prelievo totale PCI</t>
  </si>
  <si>
    <t>AutoConsumo totale PCI</t>
  </si>
  <si>
    <t>Prelievo totale di base kWh</t>
  </si>
  <si>
    <t>Produzione totale</t>
  </si>
  <si>
    <t>AutoConsumo totale kWh</t>
  </si>
  <si>
    <t>Consumo totale kWh</t>
  </si>
  <si>
    <t>Prelievi totali kWh</t>
  </si>
  <si>
    <t>Prelievo totale Veicolo Elettrico</t>
  </si>
  <si>
    <t>Autoconsumo Domotica</t>
  </si>
  <si>
    <t>Autoconsumo totale Veicolo Elettrico</t>
  </si>
  <si>
    <t>AC Batterie</t>
  </si>
  <si>
    <t xml:space="preserve">Prelievi a </t>
  </si>
  <si>
    <t>€/kWh</t>
  </si>
  <si>
    <t>Totale prelievi</t>
  </si>
  <si>
    <t>Totale AutoConsumi escluso batteria</t>
  </si>
  <si>
    <t>Totale AutoConsumi con batterie</t>
  </si>
  <si>
    <t>Risparmio Totale PdC risc.</t>
  </si>
  <si>
    <t>Risparmio Totale PdC ACS</t>
  </si>
  <si>
    <t>Risparmio Totale PdC risc. + ACS</t>
  </si>
  <si>
    <t>Risparmio Totale PdC risc. + ST</t>
  </si>
  <si>
    <t>Risparmio Totale PCI</t>
  </si>
  <si>
    <t>Risparmio Totale Coibentazioni</t>
  </si>
  <si>
    <t>Risparmio totale € per riscaldamento</t>
  </si>
  <si>
    <t>Impianto fotovoltaico</t>
  </si>
  <si>
    <t>Potenza kWp</t>
  </si>
  <si>
    <t>Impianto base kWp</t>
  </si>
  <si>
    <t>Impianto per PdC kWp</t>
  </si>
  <si>
    <t>Costo impianto</t>
  </si>
  <si>
    <t>Produzione annua kWh</t>
  </si>
  <si>
    <t>Perdita di produzione annua</t>
  </si>
  <si>
    <t>fabbisogno base kWh/anno</t>
  </si>
  <si>
    <t>Valore energia immessa in rete</t>
  </si>
  <si>
    <t>Premio energia in AutoConsumo</t>
  </si>
  <si>
    <t>Percentuale AutoConsumo Base</t>
  </si>
  <si>
    <t>Coefficiente corrrettivo AC</t>
  </si>
  <si>
    <t>Anni vita impianto</t>
  </si>
  <si>
    <t>Produzione totale vita</t>
  </si>
  <si>
    <t>Produzione in Conto Energia</t>
  </si>
  <si>
    <t>Produzione dopo Conto Energia</t>
  </si>
  <si>
    <t>Anni CE</t>
  </si>
  <si>
    <t>Immissioni con Conto Energia Innovativo</t>
  </si>
  <si>
    <t>Immissioni con Conto Energia Standard</t>
  </si>
  <si>
    <t>Energia scambiata dopo Conto Energia (tutti)</t>
  </si>
  <si>
    <t>Immissioni dopo Conto Energia (tutti)</t>
  </si>
  <si>
    <t>Premio AutoConsumo Innovativo</t>
  </si>
  <si>
    <t>Premio AutoConsumo Standard</t>
  </si>
  <si>
    <t>Assicurazione</t>
  </si>
  <si>
    <t>Inverter</t>
  </si>
  <si>
    <t>Totale Spese</t>
  </si>
  <si>
    <t>Immissioni con detrazioni</t>
  </si>
  <si>
    <t>yr fin.</t>
  </si>
  <si>
    <t>Costo Impianti</t>
  </si>
  <si>
    <t>Percentuale prestito</t>
  </si>
  <si>
    <t>Mensilità</t>
  </si>
  <si>
    <t>Selezionato</t>
  </si>
  <si>
    <t>Totale Detrazioni</t>
  </si>
  <si>
    <t>Totale Incentivi e Vendita</t>
  </si>
  <si>
    <t>AutoC. Annuo Totale Termico kWhe</t>
  </si>
  <si>
    <t>Prelievo totale sistema termico kWh</t>
  </si>
  <si>
    <t>Costo kWh scambiato</t>
  </si>
  <si>
    <t>Costo Totale batteria</t>
  </si>
  <si>
    <t>Immissioni in Conto Energia</t>
  </si>
  <si>
    <t>Immissioni dopo il Conto Energia</t>
  </si>
  <si>
    <t>Autoconsumo in Conto Energia</t>
  </si>
  <si>
    <t>Autoconsumo dopo Conto Energia</t>
  </si>
  <si>
    <t>Rendimento Finanziario (TIR)</t>
  </si>
  <si>
    <t>E.E.</t>
  </si>
  <si>
    <t>Inflazione istat</t>
  </si>
  <si>
    <t>E.T.</t>
  </si>
  <si>
    <t xml:space="preserve">              Minima</t>
  </si>
  <si>
    <t xml:space="preserve">             Massima</t>
  </si>
  <si>
    <t xml:space="preserve">               Media</t>
  </si>
  <si>
    <t>Inflazione manutenzione</t>
  </si>
  <si>
    <t>Inflazione scambio sul posto</t>
  </si>
  <si>
    <t>Fabbisogno senza autoconsumo ( FV -dimensionato)</t>
  </si>
  <si>
    <t>Prelievo totale di base kWh minimo</t>
  </si>
  <si>
    <t>Costo impianti</t>
  </si>
  <si>
    <t>Risparmio Totale Solare Termico</t>
  </si>
  <si>
    <t>Totale bolletta EnEl</t>
  </si>
  <si>
    <t>Tutto il periodo</t>
  </si>
  <si>
    <t>Energia termica</t>
  </si>
  <si>
    <t>interessi</t>
  </si>
  <si>
    <t>Inflazione SSP</t>
  </si>
  <si>
    <t>Bilancio annuo</t>
  </si>
  <si>
    <t>CO2</t>
  </si>
  <si>
    <t>Pm10</t>
  </si>
  <si>
    <t>Combustibile kWh</t>
  </si>
  <si>
    <t>CO2 kg/kWh</t>
  </si>
  <si>
    <t>PM10 g/kWh</t>
  </si>
  <si>
    <t>Prima</t>
  </si>
  <si>
    <t>Dopo</t>
  </si>
  <si>
    <t>Totali</t>
  </si>
  <si>
    <t>Kg CO2</t>
  </si>
  <si>
    <t>g PM10</t>
  </si>
  <si>
    <t>GAS CLIMALTERANTI (CO2) kg</t>
  </si>
  <si>
    <t>Energia Elettrica</t>
  </si>
  <si>
    <t>Energia Termica</t>
  </si>
  <si>
    <t>Emissioni</t>
  </si>
  <si>
    <t>costo medio kWh</t>
  </si>
  <si>
    <t>Spesa annua per manutenzione</t>
  </si>
  <si>
    <t>incentivi periodo prestito</t>
  </si>
  <si>
    <t xml:space="preserve">Inflazione Energia Termica
(costi prima)
</t>
  </si>
  <si>
    <t>Inflazione Energia Elettrica
(costi prima)</t>
  </si>
  <si>
    <t>Inflazione manutenzione
(costi dopo)</t>
  </si>
  <si>
    <t>O&amp;M</t>
  </si>
  <si>
    <t>Costi meno entrate periodo prestito</t>
  </si>
  <si>
    <t>Costi meno entrate post prestito</t>
  </si>
  <si>
    <t>Inflazione tutto il periodo. Costi dopo installazione impianti</t>
  </si>
  <si>
    <t>Inflazione tutto il periodo. Costi prima dell'installazione impianti</t>
  </si>
  <si>
    <t>Periodo prestito</t>
  </si>
  <si>
    <t xml:space="preserve">Inflazione scambio sul posto
(aggiunto ad incentivi)    </t>
  </si>
  <si>
    <t>Combustibili</t>
  </si>
  <si>
    <t>Inflazione prima dell'installazione impianti</t>
  </si>
  <si>
    <t>Inflazione dopo dell'installazione impianti</t>
  </si>
  <si>
    <t>costi periodo prestito dopo installazione</t>
  </si>
  <si>
    <t>entrate periodo prestito dopo installazione impianti</t>
  </si>
  <si>
    <t>Energia elettirca</t>
  </si>
  <si>
    <t>costo Combustibili</t>
  </si>
  <si>
    <t xml:space="preserve">Entrate dopo installazione impianti </t>
  </si>
  <si>
    <t>guadagno post prestito</t>
  </si>
  <si>
    <t xml:space="preserve">Totale </t>
  </si>
  <si>
    <t>Totale (controllo guadagno)</t>
  </si>
  <si>
    <t>Inflazione Energia Elettrica
(costi dopo)</t>
  </si>
  <si>
    <t xml:space="preserve">Inflazione Energia Termica
(costi dopo)
</t>
  </si>
  <si>
    <t>Guadagno</t>
  </si>
  <si>
    <t>Anni prestito</t>
  </si>
  <si>
    <t>Rata</t>
  </si>
  <si>
    <t>energia termica Risparmiata €</t>
  </si>
  <si>
    <t>Costo combustibile</t>
  </si>
  <si>
    <t>Tipo combustibile</t>
  </si>
  <si>
    <t>fabbisogno energia elettrica prima kWhe</t>
  </si>
  <si>
    <t>Fabbisogno energia elettrica dopo kWhe</t>
  </si>
  <si>
    <t>fabbisogno energia termica prima kWht</t>
  </si>
  <si>
    <t>Costo energia termica prima €</t>
  </si>
  <si>
    <t>Costo energia termica dopo €</t>
  </si>
  <si>
    <t>fabbisogno energia termica dopo kWht</t>
  </si>
  <si>
    <t>fabbisogno carburante dopo kWhe</t>
  </si>
  <si>
    <t>energia termica Risparmiata kWht</t>
  </si>
  <si>
    <t>fabbisogno carburante prima kWht</t>
  </si>
  <si>
    <t>Fabbisogno totale energia prima kWh</t>
  </si>
  <si>
    <t>fabbisogno totale energia dopo kWh</t>
  </si>
  <si>
    <t>Produzione totale energia kWh</t>
  </si>
  <si>
    <t>Fabbisogno totale netto energia dopo kWh</t>
  </si>
  <si>
    <t>Prelievi en. el. Meno produzione en. El. kWh</t>
  </si>
  <si>
    <t>Percentuale di autonomia energetica</t>
  </si>
  <si>
    <t>Fabbisogno kWht anno prima</t>
  </si>
  <si>
    <t>Fabb. kWht yr</t>
  </si>
  <si>
    <t>€ comb. yr</t>
  </si>
  <si>
    <t>Fabb. kWhe yr ET</t>
  </si>
  <si>
    <t>Coibentazione 2</t>
  </si>
  <si>
    <t>Coibentazione 1</t>
  </si>
  <si>
    <t>costo energia elettrica €/kWh</t>
  </si>
  <si>
    <t>costo carburante al litro</t>
  </si>
  <si>
    <t>risparmio carburante anno €</t>
  </si>
  <si>
    <t>Parete a nord</t>
  </si>
  <si>
    <t>parete ad est</t>
  </si>
  <si>
    <t>parete a sud</t>
  </si>
  <si>
    <t>Parete ad ovest</t>
  </si>
  <si>
    <t>lunghezza</t>
  </si>
  <si>
    <t>Superficie di base</t>
  </si>
  <si>
    <t>altezza media</t>
  </si>
  <si>
    <t>numero fori/finestre</t>
  </si>
  <si>
    <t>Superficie totale finestre</t>
  </si>
  <si>
    <t>Superficie totale porte</t>
  </si>
  <si>
    <t>prezzo unitario</t>
  </si>
  <si>
    <t>costo totale</t>
  </si>
  <si>
    <t>Cappotto termico mq</t>
  </si>
  <si>
    <t>Coibentazione tetto mq</t>
  </si>
  <si>
    <t>Finestre mq</t>
  </si>
  <si>
    <t>Porte esterne mq</t>
  </si>
  <si>
    <t>Sistema radiante mq</t>
  </si>
  <si>
    <t>Scambiatore di calore m3</t>
  </si>
  <si>
    <t>Totale costo riqualificazione energetica</t>
  </si>
  <si>
    <t>Coefficiente costo scambiatore</t>
  </si>
  <si>
    <r>
      <rPr>
        <sz val="11"/>
        <color theme="1"/>
        <rFont val="Calibri"/>
        <family val="2"/>
      </rPr>
      <t xml:space="preserve">Superficie Abit. </t>
    </r>
    <r>
      <rPr>
        <sz val="10"/>
        <color indexed="8"/>
        <rFont val="Calibri"/>
        <family val="2"/>
      </rPr>
      <t>(riscaldata)</t>
    </r>
  </si>
  <si>
    <t xml:space="preserve">Condizionatore per raffrescamento </t>
  </si>
  <si>
    <r>
      <t xml:space="preserve">Costo VARI IMPIANTI </t>
    </r>
    <r>
      <rPr>
        <sz val="10"/>
        <color indexed="8"/>
        <rFont val="Calibri"/>
        <family val="2"/>
      </rPr>
      <t>(Fotov., PdC, Piano C., Auto, ecc.)</t>
    </r>
  </si>
  <si>
    <r>
      <t xml:space="preserve">Costo MANUTENZIONE </t>
    </r>
    <r>
      <rPr>
        <sz val="10"/>
        <color indexed="8"/>
        <rFont val="Calibri"/>
        <family val="2"/>
      </rPr>
      <t>(assicurazione,  ecc.)</t>
    </r>
  </si>
  <si>
    <t>GUADAGNO sull'investimento rispetto alla sit. attuale</t>
  </si>
  <si>
    <r>
      <t xml:space="preserve">% RISP. SULLE BOLLETTE </t>
    </r>
    <r>
      <rPr>
        <b/>
        <sz val="10"/>
        <color indexed="8"/>
        <rFont val="Calibri"/>
        <family val="2"/>
      </rPr>
      <t>energetiche</t>
    </r>
  </si>
  <si>
    <t>€ per mq</t>
  </si>
  <si>
    <t>€ per cm</t>
  </si>
  <si>
    <t>polistirene</t>
  </si>
  <si>
    <t>Fibra di legno</t>
  </si>
  <si>
    <t>Fibra di canapa</t>
  </si>
  <si>
    <t>Sughero</t>
  </si>
  <si>
    <t xml:space="preserve">Lana </t>
  </si>
  <si>
    <t>Costo manodop. €/mq</t>
  </si>
  <si>
    <t>cm spessore</t>
  </si>
  <si>
    <t>Coibentazione tetto</t>
  </si>
  <si>
    <t>Vermiculite sottotetto</t>
  </si>
  <si>
    <t>Polistirene sottotetto</t>
  </si>
  <si>
    <t xml:space="preserve">        si</t>
  </si>
  <si>
    <t>prova</t>
  </si>
  <si>
    <t xml:space="preserve">       no</t>
  </si>
  <si>
    <t>forse</t>
  </si>
  <si>
    <t>Calcolo metratura finestre</t>
  </si>
  <si>
    <t>altezza</t>
  </si>
  <si>
    <t>larghezza</t>
  </si>
  <si>
    <t>superficie mq</t>
  </si>
  <si>
    <t>Lana di roccia</t>
  </si>
  <si>
    <t>Lana di roccia su copertura</t>
  </si>
  <si>
    <t>Polistirene su copertura</t>
  </si>
  <si>
    <t>Lana di roccia sottotetto</t>
  </si>
  <si>
    <t>Fibra di legno su copertura</t>
  </si>
  <si>
    <t>Altro materiale</t>
  </si>
  <si>
    <t>finestre in allumino</t>
  </si>
  <si>
    <t>finestre in legno</t>
  </si>
  <si>
    <t>Infissi e serramenti</t>
  </si>
  <si>
    <t>Porte esterne</t>
  </si>
  <si>
    <t>Sistema radiante riscaldamento</t>
  </si>
  <si>
    <t>A pavimento</t>
  </si>
  <si>
    <t>A parete</t>
  </si>
  <si>
    <t>A soffitto</t>
  </si>
  <si>
    <t>Scambiatore di calore</t>
  </si>
  <si>
    <t>cappotto</t>
  </si>
  <si>
    <t>coibentazione tetto</t>
  </si>
  <si>
    <t>Cappotto termico su parete</t>
  </si>
  <si>
    <t>Percentuale varie e imprevisti</t>
  </si>
  <si>
    <t xml:space="preserve">Cappotto termico </t>
  </si>
  <si>
    <t xml:space="preserve">Coibentazione tetto </t>
  </si>
  <si>
    <t xml:space="preserve">Finestre </t>
  </si>
  <si>
    <t>Sistema radiante</t>
  </si>
  <si>
    <t xml:space="preserve">                    Quadro A: Dati abitazione</t>
  </si>
  <si>
    <t xml:space="preserve">                  Quadro B: Calcolo dati abitazione</t>
  </si>
  <si>
    <t>Quadro C: Costi di coibentazione e ristrutturazione</t>
  </si>
  <si>
    <t>Quadro D: Listino prezzi medi di mercato per interventi di riqualificazione energetica</t>
  </si>
  <si>
    <t>Sistema di calcolo preventivo medio per interventi di riqualificazione energetica</t>
  </si>
  <si>
    <r>
      <t xml:space="preserve">Note e/o eventuale "Nome" </t>
    </r>
    <r>
      <rPr>
        <sz val="10"/>
        <color indexed="8"/>
        <rFont val="Calibri"/>
        <family val="2"/>
      </rPr>
      <t>per distinguere le ipotesi simulate</t>
    </r>
  </si>
  <si>
    <t>COSTI ED ENTRATE IN SINTESI</t>
  </si>
  <si>
    <t>SITUAZIONE LIQUIDITA' FINANZIARIA</t>
  </si>
  <si>
    <t>VANTAGGI AMBIENTALI</t>
  </si>
  <si>
    <r>
      <rPr>
        <b/>
        <sz val="12"/>
        <color indexed="8"/>
        <rFont val="Calibri"/>
        <family val="2"/>
      </rPr>
      <t xml:space="preserve">AUTONOMIA ENERGETICA </t>
    </r>
    <r>
      <rPr>
        <sz val="12"/>
        <color indexed="8"/>
        <rFont val="Calibri"/>
        <family val="2"/>
      </rPr>
      <t>dell'abitazione</t>
    </r>
  </si>
  <si>
    <t>Casa passiva</t>
  </si>
  <si>
    <t xml:space="preserve">             ICE: Indice di Consumo Energetico (o classe energetica)</t>
  </si>
  <si>
    <r>
      <t xml:space="preserve">Polveri sottili </t>
    </r>
    <r>
      <rPr>
        <sz val="11"/>
        <rFont val="Calibri"/>
        <family val="2"/>
      </rPr>
      <t>TOSSICO/NOCIVE (PM10) g</t>
    </r>
  </si>
  <si>
    <t>RENDIMENTO FINANZIARIO annuo</t>
  </si>
  <si>
    <t>Proprietà di EnergoClub, il presente strumento può essere trasmesso a terzi previa indicazione dell'origine</t>
  </si>
  <si>
    <t xml:space="preserve">  Classe A</t>
  </si>
  <si>
    <t xml:space="preserve">     Classe B</t>
  </si>
  <si>
    <t xml:space="preserve">       Classe C</t>
  </si>
  <si>
    <t xml:space="preserve">           Classe D</t>
  </si>
  <si>
    <t xml:space="preserve">              Classe E</t>
  </si>
  <si>
    <t xml:space="preserve">                 Classe F</t>
  </si>
  <si>
    <t xml:space="preserve">                    Classe G</t>
  </si>
  <si>
    <t>In questo foglio è possibile calcolare, con una buona approssimazione, il costo degli interventi di riqualificazione enegetica nella propria abitazione.
Il costo totale può essere utilizzato nel foglio "Simulatore" per osservare il piano economico conseguente</t>
  </si>
  <si>
    <r>
      <t xml:space="preserve">INFLAZIONE </t>
    </r>
    <r>
      <rPr>
        <sz val="10"/>
        <color indexed="8"/>
        <rFont val="Calibri"/>
        <family val="2"/>
      </rPr>
      <t>(futuri aumenti bollette)</t>
    </r>
  </si>
  <si>
    <t>Varie e imprev.</t>
  </si>
  <si>
    <t>Indice di Consumo Energetico</t>
  </si>
  <si>
    <r>
      <t xml:space="preserve">  meno di     </t>
    </r>
    <r>
      <rPr>
        <b/>
        <sz val="14"/>
        <rFont val="Calibri"/>
        <family val="2"/>
      </rPr>
      <t>30</t>
    </r>
    <r>
      <rPr>
        <b/>
        <sz val="12"/>
        <rFont val="Calibri"/>
        <family val="2"/>
      </rPr>
      <t xml:space="preserve"> kWh</t>
    </r>
    <r>
      <rPr>
        <sz val="12"/>
        <rFont val="Calibri"/>
        <family val="2"/>
      </rPr>
      <t xml:space="preserve"> </t>
    </r>
    <r>
      <rPr>
        <sz val="11"/>
        <rFont val="Calibri"/>
        <family val="2"/>
      </rPr>
      <t>di consumi energetici per metro quadro all'anno</t>
    </r>
  </si>
  <si>
    <r>
      <t xml:space="preserve"> </t>
    </r>
    <r>
      <rPr>
        <sz val="11"/>
        <rFont val="Calibri"/>
        <family val="2"/>
      </rPr>
      <t xml:space="preserve">meno di     </t>
    </r>
    <r>
      <rPr>
        <b/>
        <sz val="14"/>
        <rFont val="Calibri"/>
        <family val="2"/>
      </rPr>
      <t>50</t>
    </r>
    <r>
      <rPr>
        <b/>
        <sz val="11"/>
        <rFont val="Calibri"/>
        <family val="2"/>
      </rPr>
      <t xml:space="preserve"> </t>
    </r>
    <r>
      <rPr>
        <b/>
        <sz val="12"/>
        <rFont val="Calibri"/>
        <family val="2"/>
      </rPr>
      <t>kWh</t>
    </r>
    <r>
      <rPr>
        <sz val="11"/>
        <rFont val="Calibri"/>
        <family val="2"/>
      </rPr>
      <t xml:space="preserve">  di consumi energetici per metro quadro all'anno</t>
    </r>
  </si>
  <si>
    <r>
      <t xml:space="preserve">  meno di</t>
    </r>
    <r>
      <rPr>
        <sz val="14"/>
        <rFont val="Calibri"/>
        <family val="2"/>
      </rPr>
      <t xml:space="preserve">   </t>
    </r>
    <r>
      <rPr>
        <b/>
        <sz val="14"/>
        <rFont val="Calibri"/>
        <family val="2"/>
      </rPr>
      <t xml:space="preserve">70 </t>
    </r>
    <r>
      <rPr>
        <b/>
        <sz val="12"/>
        <rFont val="Calibri"/>
        <family val="2"/>
      </rPr>
      <t>kWh</t>
    </r>
    <r>
      <rPr>
        <sz val="11"/>
        <rFont val="Calibri"/>
        <family val="2"/>
      </rPr>
      <t xml:space="preserve">  di consumi energetici per metro quadro all'anno</t>
    </r>
  </si>
  <si>
    <r>
      <t xml:space="preserve">  meno di    </t>
    </r>
    <r>
      <rPr>
        <b/>
        <sz val="14"/>
        <rFont val="Calibri"/>
        <family val="2"/>
      </rPr>
      <t>90</t>
    </r>
    <r>
      <rPr>
        <b/>
        <sz val="11"/>
        <rFont val="Calibri"/>
        <family val="2"/>
      </rPr>
      <t xml:space="preserve"> </t>
    </r>
    <r>
      <rPr>
        <b/>
        <sz val="12"/>
        <rFont val="Calibri"/>
        <family val="2"/>
      </rPr>
      <t xml:space="preserve">kWh  </t>
    </r>
    <r>
      <rPr>
        <sz val="11"/>
        <rFont val="Calibri"/>
        <family val="2"/>
      </rPr>
      <t>di consumi energetici per metro quadro all'anno</t>
    </r>
  </si>
  <si>
    <r>
      <t xml:space="preserve">  meno di </t>
    </r>
    <r>
      <rPr>
        <b/>
        <sz val="14"/>
        <rFont val="Calibri"/>
        <family val="2"/>
      </rPr>
      <t xml:space="preserve">120 </t>
    </r>
    <r>
      <rPr>
        <b/>
        <sz val="12"/>
        <rFont val="Calibri"/>
        <family val="2"/>
      </rPr>
      <t>kWh</t>
    </r>
    <r>
      <rPr>
        <sz val="11"/>
        <rFont val="Calibri"/>
        <family val="2"/>
      </rPr>
      <t xml:space="preserve">  di consumi energetici per metro quadro all'anno</t>
    </r>
  </si>
  <si>
    <r>
      <t xml:space="preserve">  meno di </t>
    </r>
    <r>
      <rPr>
        <b/>
        <sz val="14"/>
        <rFont val="Calibri"/>
        <family val="2"/>
      </rPr>
      <t>160</t>
    </r>
    <r>
      <rPr>
        <b/>
        <sz val="11"/>
        <rFont val="Calibri"/>
        <family val="2"/>
      </rPr>
      <t xml:space="preserve"> </t>
    </r>
    <r>
      <rPr>
        <b/>
        <sz val="12"/>
        <rFont val="Calibri"/>
        <family val="2"/>
      </rPr>
      <t xml:space="preserve">kWh </t>
    </r>
    <r>
      <rPr>
        <b/>
        <sz val="11"/>
        <rFont val="Calibri"/>
        <family val="2"/>
      </rPr>
      <t xml:space="preserve"> </t>
    </r>
    <r>
      <rPr>
        <sz val="11"/>
        <rFont val="Calibri"/>
        <family val="2"/>
      </rPr>
      <t>di consumi energetici per metro quadro all'anno</t>
    </r>
  </si>
  <si>
    <r>
      <t xml:space="preserve">    più di   </t>
    </r>
    <r>
      <rPr>
        <b/>
        <sz val="14"/>
        <rFont val="Calibri"/>
        <family val="2"/>
      </rPr>
      <t>160</t>
    </r>
    <r>
      <rPr>
        <b/>
        <sz val="11"/>
        <rFont val="Calibri"/>
        <family val="2"/>
      </rPr>
      <t xml:space="preserve">  </t>
    </r>
    <r>
      <rPr>
        <b/>
        <sz val="12"/>
        <rFont val="Calibri"/>
        <family val="2"/>
      </rPr>
      <t>kWh</t>
    </r>
    <r>
      <rPr>
        <sz val="11"/>
        <rFont val="Calibri"/>
        <family val="2"/>
      </rPr>
      <t xml:space="preserve">   di consumi energetici per metro quadro all'anno</t>
    </r>
  </si>
  <si>
    <r>
      <t xml:space="preserve">  meno d</t>
    </r>
    <r>
      <rPr>
        <sz val="11"/>
        <rFont val="Calibri"/>
        <family val="2"/>
      </rPr>
      <t xml:space="preserve">i    </t>
    </r>
    <r>
      <rPr>
        <sz val="14"/>
        <rFont val="Calibri"/>
        <family val="2"/>
      </rPr>
      <t xml:space="preserve"> </t>
    </r>
    <r>
      <rPr>
        <b/>
        <sz val="14"/>
        <rFont val="Calibri"/>
        <family val="2"/>
      </rPr>
      <t>15</t>
    </r>
    <r>
      <rPr>
        <b/>
        <sz val="12"/>
        <rFont val="Calibri"/>
        <family val="2"/>
      </rPr>
      <t xml:space="preserve"> kWh </t>
    </r>
    <r>
      <rPr>
        <sz val="11"/>
        <rFont val="Calibri"/>
        <family val="2"/>
      </rPr>
      <t>di consumi energetici per metro quadro all'anno</t>
    </r>
  </si>
  <si>
    <t xml:space="preserve">INSERIRE I DATI SOLO SUI CAMPI CON LA FRECCETTA relativi alla propria situazione iniziale e dati variabili 
PER LE NOTE DI AIUTO posizionare il mouse sopra gli spigoli rossi </t>
  </si>
  <si>
    <t>Finestre in PVC</t>
  </si>
  <si>
    <t>€/anno</t>
  </si>
  <si>
    <t>Ricavo kWh scambiato</t>
  </si>
  <si>
    <t>massimo</t>
  </si>
  <si>
    <t>Fabbisogno prelievo</t>
  </si>
  <si>
    <t>guadagno anni prestito</t>
  </si>
  <si>
    <r>
      <rPr>
        <sz val="11"/>
        <color indexed="8"/>
        <rFont val="Calibri"/>
        <family val="2"/>
      </rPr>
      <t>situazione</t>
    </r>
    <r>
      <rPr>
        <sz val="10"/>
        <color indexed="8"/>
        <rFont val="Calibri"/>
        <family val="2"/>
      </rPr>
      <t xml:space="preserve">
</t>
    </r>
    <r>
      <rPr>
        <b/>
        <sz val="11"/>
        <color indexed="8"/>
        <rFont val="Calibri"/>
        <family val="2"/>
      </rPr>
      <t>ATTUALE</t>
    </r>
  </si>
  <si>
    <t>incentivi</t>
  </si>
  <si>
    <t>risparmi</t>
  </si>
  <si>
    <t>inflazione dopo</t>
  </si>
  <si>
    <t>Persone residenti</t>
  </si>
  <si>
    <t>Anni</t>
  </si>
  <si>
    <t>Est</t>
  </si>
  <si>
    <t>Sud</t>
  </si>
  <si>
    <t>Ovest</t>
  </si>
  <si>
    <t>B</t>
  </si>
  <si>
    <t>D</t>
  </si>
  <si>
    <t>&lt;</t>
  </si>
  <si>
    <t>A+</t>
  </si>
  <si>
    <t>A</t>
  </si>
  <si>
    <t>C</t>
  </si>
  <si>
    <t>E</t>
  </si>
  <si>
    <t>G</t>
  </si>
  <si>
    <t>2G</t>
  </si>
  <si>
    <t>&gt;</t>
  </si>
  <si>
    <t>3G</t>
  </si>
  <si>
    <t>AutoConsumo in Conto Energia</t>
  </si>
  <si>
    <t>AutoConsumo dopo Conto Energia</t>
  </si>
  <si>
    <t>Immissioni dopo Conto Energia</t>
  </si>
  <si>
    <t xml:space="preserve">       Radiatori</t>
  </si>
  <si>
    <t xml:space="preserve">         Metano</t>
  </si>
  <si>
    <t xml:space="preserve">             No</t>
  </si>
  <si>
    <t xml:space="preserve">          Gasolio</t>
  </si>
  <si>
    <t xml:space="preserve">            Legna</t>
  </si>
  <si>
    <t xml:space="preserve">   En. Elettrica</t>
  </si>
  <si>
    <t xml:space="preserve"> Convettori aria</t>
  </si>
  <si>
    <t xml:space="preserve">   A pavimento</t>
  </si>
  <si>
    <t xml:space="preserve">      A soffitto</t>
  </si>
  <si>
    <t xml:space="preserve">       A parete</t>
  </si>
  <si>
    <t xml:space="preserve">             GPL</t>
  </si>
  <si>
    <t>Consumo legna  kWht</t>
  </si>
  <si>
    <t>Costo legna</t>
  </si>
  <si>
    <t>anno</t>
  </si>
  <si>
    <t>co2 kg</t>
  </si>
  <si>
    <t>pm10 g</t>
  </si>
  <si>
    <t>periodo</t>
  </si>
  <si>
    <t>Legna</t>
  </si>
  <si>
    <t>Risparmio Fisso</t>
  </si>
  <si>
    <t>Costo batterie kWh</t>
  </si>
  <si>
    <t>Cicli carica/scarica</t>
  </si>
  <si>
    <t>Profondità di scarica</t>
  </si>
  <si>
    <t>kWh scambiabili</t>
  </si>
  <si>
    <t>kWh legna</t>
  </si>
  <si>
    <t>TEP risparmiati anno</t>
  </si>
  <si>
    <t xml:space="preserve">Percentuale deficit energia </t>
  </si>
  <si>
    <t>contributo su 20 anni</t>
  </si>
  <si>
    <t>contributo su 1 anno</t>
  </si>
  <si>
    <t>kWh risparmiati</t>
  </si>
  <si>
    <t>TEP risparmiati periodo</t>
  </si>
  <si>
    <t>tot contributo su periodo</t>
  </si>
  <si>
    <t>tot contributo su 1 anno</t>
  </si>
  <si>
    <t>Fabbisogno elettrico dopo</t>
  </si>
  <si>
    <t>Fabbisogno energia prima kWh</t>
  </si>
  <si>
    <t>TEP equivalenti periodo</t>
  </si>
  <si>
    <t>produzione annua kWh</t>
  </si>
  <si>
    <t>Pdc riscaldamento</t>
  </si>
  <si>
    <t>Contributo fotovoltaico</t>
  </si>
  <si>
    <t>Contributo per tep risparmiato</t>
  </si>
  <si>
    <t>tep equivalenti</t>
  </si>
  <si>
    <t>tepequivalenti periodo</t>
  </si>
  <si>
    <t>Risparmio kWh 20 anni per persona</t>
  </si>
  <si>
    <t>Risparmio kWh 20 anni famiglia</t>
  </si>
  <si>
    <t>mq abitazione</t>
  </si>
  <si>
    <t>kWh risparmiati in 20 anni</t>
  </si>
  <si>
    <t>ACS (PdC o Solaretermico)</t>
  </si>
  <si>
    <t>Prezzi e corrispettivi per impianti Fotovoltaici Progetto SoleinRete</t>
  </si>
  <si>
    <t>Contributo unitario attività GAF €/kWp (IVA compresa)</t>
  </si>
  <si>
    <t>Totale Contributo
attività GAF 
(IVA compresa)</t>
  </si>
  <si>
    <t>Impianto innovativo</t>
  </si>
  <si>
    <t>Aggiunte</t>
  </si>
  <si>
    <t>Innovativo</t>
  </si>
  <si>
    <t xml:space="preserve">  No</t>
  </si>
  <si>
    <t xml:space="preserve">   Si</t>
  </si>
  <si>
    <t>costo u</t>
  </si>
  <si>
    <t>kWh u</t>
  </si>
  <si>
    <t>€ u</t>
  </si>
  <si>
    <t>gpl</t>
  </si>
  <si>
    <t>metano</t>
  </si>
  <si>
    <t>gasolio</t>
  </si>
  <si>
    <t>Detrazioni fotovoltaico 36%</t>
  </si>
  <si>
    <t>Detrazioni fotovoltaico 50%</t>
  </si>
  <si>
    <t>Detrazioni altro 55%</t>
  </si>
  <si>
    <t>Immissioni totali kWh</t>
  </si>
  <si>
    <t>Piano ad Induzione</t>
  </si>
  <si>
    <t>Inserire nella cella F13 la potenza dell'impianto con 3 decimali</t>
  </si>
  <si>
    <t>Il contributo al GAF è al 6% fino a 6 kWp, poi scende proporzionalmente alla taglia di impianto
il costo impianto è vincolante fino a 20 kWp, poi il prezzo derivato dal calcolo è consigliato.
Selezionare SI nella cella G14 per definire il prezzo convenzionato per l'impianto innovativo
Inserire nella cella G15 eventuali aggiunte per kWp all'impianto fotovoltaico</t>
  </si>
  <si>
    <t>Percentuale Prelievi di base</t>
  </si>
  <si>
    <t>10 € per m3</t>
  </si>
  <si>
    <t>Superficie totale ambienti riscaldati</t>
  </si>
  <si>
    <t>superficie lorda pareti esterne</t>
  </si>
  <si>
    <t>Superficie netta pareti esterne</t>
  </si>
  <si>
    <t>Inserire i dati della propria abitazione nel Quadro A, i dati vengono elaborati automaticamente nel Quadro B per definire la quantità delle superfici. Scegliere nel Quadro D i materiali e inserire i relativi prezzi unitari nel Quadro C, quindi abilitare il calcolo segliendo l'opzione Si</t>
  </si>
  <si>
    <t>Cellulare:</t>
  </si>
  <si>
    <t>Indirizzo email:</t>
  </si>
  <si>
    <t>Telefono:</t>
  </si>
  <si>
    <t>Costo :</t>
  </si>
  <si>
    <t>Metano</t>
  </si>
  <si>
    <t>GPL</t>
  </si>
  <si>
    <t>Gasolio</t>
  </si>
  <si>
    <t>Pellet</t>
  </si>
  <si>
    <t>TOTALE ANNUO</t>
  </si>
  <si>
    <t>DATI DELL'ABITAZIONE</t>
  </si>
  <si>
    <t>piano</t>
  </si>
  <si>
    <t>piani</t>
  </si>
  <si>
    <t>nord</t>
  </si>
  <si>
    <t>est</t>
  </si>
  <si>
    <t>sud</t>
  </si>
  <si>
    <t>ovest</t>
  </si>
  <si>
    <t>Nord</t>
  </si>
  <si>
    <t>nn</t>
  </si>
  <si>
    <t>parete a est</t>
  </si>
  <si>
    <t>parete ad sud</t>
  </si>
  <si>
    <t xml:space="preserve">Pareti esterne </t>
  </si>
  <si>
    <t>detrazione fiscale del 36%</t>
  </si>
  <si>
    <t>detrazione fiscale del 50%</t>
  </si>
  <si>
    <t>con caratteristiche architettoniche innovative</t>
  </si>
  <si>
    <t>parzialmente integrato</t>
  </si>
  <si>
    <t>Indice di Consumo Termico</t>
  </si>
  <si>
    <t>Indice di Consumo elettrico</t>
  </si>
  <si>
    <t>Ricavo totale batteria</t>
  </si>
  <si>
    <t>Batterie kWh</t>
  </si>
  <si>
    <t>a pavimento</t>
  </si>
  <si>
    <t>a soffitto</t>
  </si>
  <si>
    <t>a parete</t>
  </si>
  <si>
    <t>con convettori ad aria</t>
  </si>
  <si>
    <t>a termosifoni</t>
  </si>
  <si>
    <t>Ammortamento/Rata</t>
  </si>
  <si>
    <t>sgravi fiscali</t>
  </si>
  <si>
    <t>Rata 
Prestito</t>
  </si>
  <si>
    <t>Sgravi 
Fiscali</t>
  </si>
  <si>
    <t>anni fin.</t>
  </si>
  <si>
    <t>Anni periodo</t>
  </si>
  <si>
    <t>Gestione e 
Manutenzione</t>
  </si>
  <si>
    <t>Risparmi e Incentivi</t>
  </si>
  <si>
    <t>anni incentivi</t>
  </si>
  <si>
    <t>Bolletta residua</t>
  </si>
  <si>
    <t>Bollette senza interventi</t>
  </si>
  <si>
    <t>T.</t>
  </si>
  <si>
    <t>Inflazione prima</t>
  </si>
  <si>
    <t>PREMESSA: L'AUMENTO DELL'ENERGIA E' DESTINATO AD AUMENTARE…SEMPRE DI PIU'.</t>
  </si>
  <si>
    <t>Il costo delle bollette energetiche(gas, elettricità, benzina, ecc.), oltre ad una forte ripercussione sugli equilibri geopolitici delle varie nazioni, ha avuto negli ultimi anni un aumento esponenziale dei costi che ha determinato l'aumento continuo delle bollette. 
Il grafico a fianco evidenzia l'aumento dei costi futuri sulla base  del trend degli ultimi anni.</t>
  </si>
  <si>
    <t>DATI DELL'ISCRITTO</t>
  </si>
  <si>
    <t>FABBISOGNO ENERGETICO DELL'ABITAZIONE</t>
  </si>
  <si>
    <t>INDICE CONSUMO ENERGETICO (ICE)</t>
  </si>
  <si>
    <t>No</t>
  </si>
  <si>
    <t>Minima</t>
  </si>
  <si>
    <t>Media</t>
  </si>
  <si>
    <t>Massima</t>
  </si>
  <si>
    <t>POMPA DI CALORE</t>
  </si>
  <si>
    <t>Risparmi COSTO BOLLETTE</t>
  </si>
  <si>
    <t>ALTRI VANTAGGI</t>
  </si>
  <si>
    <t>% Risparmio sulle bollette energetiche</t>
  </si>
  <si>
    <t>Ricavi</t>
  </si>
  <si>
    <t>Il grafico evidenzia come l'intervento abbia un suo vantaggio economico nel medio lungo periodo; infatti l'ammortamento del finanziamento iniziale (personale o tramite istituto di credito) si ha al 12 anno dopo il quale il vantaggio economico è sicuramente significativo e lo sarà anche per gli anni futuri in quanto gli impianti hanno una durata media più lunga.
NOTA: i tempi di ammortamento sono minori se si fa l'intervento con un finanziamento proprio (totale e/o parziale).</t>
  </si>
  <si>
    <t>Nel caso in cui s'intenda avvalersi di un prestito bancario, è preferibile comunque disporre di circa il 10% del finanziamento per gestire al meglio lo sfasamento costi/benefici del primo periodo.
In caso contrario è possibile trovare altre soluzioni: es. aumentare l'entità del prestito, "saltare" il pagamento di alcune rate, ecc.</t>
  </si>
  <si>
    <t>COSTI</t>
  </si>
  <si>
    <t>RISPARMI E SGRAVI</t>
  </si>
  <si>
    <t>Annuo</t>
  </si>
  <si>
    <t>Cumulato</t>
  </si>
  <si>
    <t>COSTI PRIMA (bollette)</t>
  </si>
  <si>
    <t>COSTI  
DOPO</t>
  </si>
  <si>
    <t>Inflazione energia termica</t>
  </si>
  <si>
    <t>Inflazione energia elettrica</t>
  </si>
  <si>
    <t>Inflazione media</t>
  </si>
  <si>
    <t>Variabile inflazione media</t>
  </si>
  <si>
    <t xml:space="preserve">              risparmi
 Combust.       En. El.</t>
  </si>
  <si>
    <t>GUADAGNO</t>
  </si>
  <si>
    <t>Risparmi 
e Incentivi</t>
  </si>
  <si>
    <t>guadagno inflazione</t>
  </si>
  <si>
    <t>Risparmi 
e Incentivi senza inflazione</t>
  </si>
  <si>
    <t>Sgravi 
fiscali</t>
  </si>
  <si>
    <t>Risparmi
e Incentivi senza inflazione</t>
  </si>
  <si>
    <t>Guadagno cumulato</t>
  </si>
  <si>
    <t>Bolletta ET prima con inflazione</t>
  </si>
  <si>
    <t>Bolletta EE prima con inflazione</t>
  </si>
  <si>
    <t>Bolletta TOT 
prima con 
inflazione</t>
  </si>
  <si>
    <t>Decadimento</t>
  </si>
  <si>
    <t>Bolletta
residua</t>
  </si>
  <si>
    <t>Risparmi sull'INFLAZIONE</t>
  </si>
  <si>
    <t>Entrate INCENTIVI e VENDITA Energia</t>
  </si>
  <si>
    <t>rata</t>
  </si>
  <si>
    <t>bolletta residua grafico</t>
  </si>
  <si>
    <t>IMPIANTO SOLARE TERMICO</t>
  </si>
  <si>
    <t>varie e imprevisti,</t>
  </si>
  <si>
    <t>incentivi previsti dal 5° C.E.</t>
  </si>
  <si>
    <t>SISTEMA DI ACCUMULO</t>
  </si>
  <si>
    <t>AUTO ELETTRICA</t>
  </si>
  <si>
    <t>SCOOTER ELETTRICO</t>
  </si>
  <si>
    <t>BICI ELETTRICA</t>
  </si>
  <si>
    <t>con autonomia di 150 km, potenza 70 cv</t>
  </si>
  <si>
    <t>con autonomia di 60 km, 15 kW di potenza</t>
  </si>
  <si>
    <t>con 30 km di autonomia</t>
  </si>
  <si>
    <t>IPOTESI 2</t>
  </si>
  <si>
    <t>IPOTESI 1</t>
  </si>
  <si>
    <t>((H10/AU8)+BC16+C12)/C10</t>
  </si>
  <si>
    <t>((costo combustibili/costo kWh combustibile)+kWh legna+kWh energia elettrica)/superficie riscaldata</t>
  </si>
  <si>
    <t>Inflazione su incentivi FV</t>
  </si>
  <si>
    <t>ipotesi 1</t>
  </si>
  <si>
    <t>ipotesi 2</t>
  </si>
  <si>
    <t>Riepilogo</t>
  </si>
  <si>
    <t xml:space="preserve">                                                                                     </t>
  </si>
  <si>
    <t xml:space="preserve">Attivazione riqualificazione </t>
  </si>
  <si>
    <t xml:space="preserve">       No</t>
  </si>
  <si>
    <t xml:space="preserve">        Si</t>
  </si>
  <si>
    <t>Misure</t>
  </si>
  <si>
    <t>riqualif.</t>
  </si>
  <si>
    <t>Attivazione misure</t>
  </si>
  <si>
    <t>Durata finanziamento anni</t>
  </si>
  <si>
    <t xml:space="preserve">superficie lorda pareti esterne, </t>
  </si>
  <si>
    <t xml:space="preserve">Superficie totale finestre, </t>
  </si>
  <si>
    <t>Superficie netta pareti esterne,</t>
  </si>
  <si>
    <t xml:space="preserve">Superficie totale porte, </t>
  </si>
  <si>
    <r>
      <t>superficie tot. finestre (m</t>
    </r>
    <r>
      <rPr>
        <vertAlign val="superscript"/>
        <sz val="11"/>
        <color indexed="8"/>
        <rFont val="Calibri"/>
        <family val="2"/>
      </rPr>
      <t>2</t>
    </r>
    <r>
      <rPr>
        <sz val="11"/>
        <color theme="1"/>
        <rFont val="Calibri"/>
        <family val="2"/>
      </rPr>
      <t>)</t>
    </r>
  </si>
  <si>
    <t>numero porte esterne</t>
  </si>
  <si>
    <r>
      <t>superficie totale porte esterne (m</t>
    </r>
    <r>
      <rPr>
        <vertAlign val="superscript"/>
        <sz val="11"/>
        <color indexed="8"/>
        <rFont val="Calibri"/>
        <family val="2"/>
      </rPr>
      <t>2</t>
    </r>
    <r>
      <rPr>
        <sz val="11"/>
        <color theme="1"/>
        <rFont val="Calibri"/>
        <family val="2"/>
      </rPr>
      <t>)</t>
    </r>
  </si>
  <si>
    <r>
      <t>Totale m</t>
    </r>
    <r>
      <rPr>
        <vertAlign val="superscript"/>
        <sz val="11"/>
        <color indexed="8"/>
        <rFont val="Calibri"/>
        <family val="2"/>
      </rPr>
      <t>2</t>
    </r>
  </si>
  <si>
    <t>Numero piani abitati riscaldati</t>
  </si>
  <si>
    <t>Misure in metri quadri</t>
  </si>
  <si>
    <r>
      <t>Indice di Consumo Energetico (</t>
    </r>
    <r>
      <rPr>
        <b/>
        <sz val="12"/>
        <rFont val="Calibri"/>
        <family val="2"/>
      </rPr>
      <t>ICE</t>
    </r>
    <r>
      <rPr>
        <sz val="11"/>
        <rFont val="Calibri"/>
        <family val="2"/>
      </rPr>
      <t>) kWh/m</t>
    </r>
    <r>
      <rPr>
        <vertAlign val="superscript"/>
        <sz val="11"/>
        <rFont val="Calibri"/>
        <family val="2"/>
      </rPr>
      <t>2</t>
    </r>
    <r>
      <rPr>
        <sz val="11"/>
        <rFont val="Calibri"/>
        <family val="2"/>
      </rPr>
      <t>/anno</t>
    </r>
  </si>
  <si>
    <t>NOTE</t>
  </si>
  <si>
    <t>NOTE:</t>
  </si>
  <si>
    <t>.</t>
  </si>
  <si>
    <t>per calcolo mensile periodo prestito</t>
  </si>
  <si>
    <t>SIMULATORE COSTI-BENEFICI                       100% AUTONOMIA  ENERGETICA                             SoleinRete</t>
  </si>
  <si>
    <r>
      <t xml:space="preserve">ATTENZIONE
Il presente Report </t>
    </r>
    <r>
      <rPr>
        <b/>
        <i/>
        <sz val="13"/>
        <color indexed="9"/>
        <rFont val="Calibri"/>
        <family val="2"/>
      </rPr>
      <t>è da intendersi come un documento di orientamento</t>
    </r>
    <r>
      <rPr>
        <i/>
        <sz val="13"/>
        <color indexed="9"/>
        <rFont val="Calibri"/>
        <family val="2"/>
      </rPr>
      <t xml:space="preserve"> con l'obiettivo di 
agevolare le scelte personali in una prospettiva di medio lungo termine
e di indirizzare  al meglio la realizzazione di un sopralluogo e relativo preventivo 
da fare ad hoc per ogni singolo caso specifico</t>
    </r>
  </si>
  <si>
    <r>
      <rPr>
        <b/>
        <sz val="16"/>
        <color indexed="9"/>
        <rFont val="Calibri"/>
        <family val="2"/>
      </rPr>
      <t>REPORT ANALISI ENERGETICA E PIANO ECONOMICO - Ipotesi N° 1</t>
    </r>
    <r>
      <rPr>
        <b/>
        <sz val="12"/>
        <color indexed="9"/>
        <rFont val="Calibri"/>
        <family val="2"/>
      </rPr>
      <t xml:space="preserve">
per interventi di riqualificazione energetica</t>
    </r>
  </si>
  <si>
    <r>
      <t>m</t>
    </r>
    <r>
      <rPr>
        <vertAlign val="superscript"/>
        <sz val="11"/>
        <color indexed="9"/>
        <rFont val="Calibri"/>
        <family val="2"/>
      </rPr>
      <t>2</t>
    </r>
  </si>
  <si>
    <r>
      <t>kWh/m</t>
    </r>
    <r>
      <rPr>
        <b/>
        <vertAlign val="superscript"/>
        <sz val="11"/>
        <color indexed="9"/>
        <rFont val="Calibri"/>
        <family val="2"/>
      </rPr>
      <t>2</t>
    </r>
    <r>
      <rPr>
        <b/>
        <sz val="11"/>
        <color indexed="9"/>
        <rFont val="Calibri"/>
        <family val="2"/>
      </rPr>
      <t>/anno</t>
    </r>
  </si>
  <si>
    <r>
      <rPr>
        <sz val="11"/>
        <color indexed="9"/>
        <rFont val="Calibri"/>
        <family val="2"/>
      </rPr>
      <t>Riepilogo</t>
    </r>
    <r>
      <rPr>
        <b/>
        <sz val="14"/>
        <color indexed="9"/>
        <rFont val="Calibri"/>
        <family val="2"/>
      </rPr>
      <t xml:space="preserve"> ASPETTI FINANZIARI</t>
    </r>
  </si>
  <si>
    <r>
      <rPr>
        <sz val="11"/>
        <color indexed="9"/>
        <rFont val="Calibri"/>
        <family val="2"/>
      </rPr>
      <t>Riepilogo</t>
    </r>
    <r>
      <rPr>
        <b/>
        <sz val="14"/>
        <color indexed="9"/>
        <rFont val="Calibri"/>
        <family val="2"/>
      </rPr>
      <t xml:space="preserve"> INVESTIMENTI INIZIALI 1° ANNO</t>
    </r>
  </si>
  <si>
    <r>
      <rPr>
        <b/>
        <sz val="11"/>
        <color indexed="9"/>
        <rFont val="Calibri"/>
        <family val="2"/>
      </rPr>
      <t>IMPIANTO FOTOVOLTAICO</t>
    </r>
    <r>
      <rPr>
        <sz val="11"/>
        <color indexed="9"/>
        <rFont val="Calibri"/>
        <family val="2"/>
      </rPr>
      <t xml:space="preserve"> (TUTTO COMPRESO)</t>
    </r>
  </si>
  <si>
    <r>
      <rPr>
        <b/>
        <sz val="11"/>
        <color indexed="9"/>
        <rFont val="Calibri"/>
        <family val="2"/>
      </rPr>
      <t>PIANO COTTURA AD INDUZIONE</t>
    </r>
    <r>
      <rPr>
        <sz val="11"/>
        <color indexed="9"/>
        <rFont val="Calibri"/>
        <family val="2"/>
      </rPr>
      <t xml:space="preserve"> a 4 fuochi (installazione inclusa)</t>
    </r>
  </si>
  <si>
    <r>
      <rPr>
        <b/>
        <sz val="11"/>
        <color indexed="9"/>
        <rFont val="Calibri"/>
        <family val="2"/>
      </rPr>
      <t>INTERVENTI DI RIQUALIFICAZIONE ENERGETICA</t>
    </r>
    <r>
      <rPr>
        <sz val="11"/>
        <color indexed="9"/>
        <rFont val="Calibri"/>
        <family val="2"/>
      </rPr>
      <t>:</t>
    </r>
  </si>
  <si>
    <r>
      <rPr>
        <b/>
        <sz val="11"/>
        <color indexed="9"/>
        <rFont val="Calibri"/>
        <family val="2"/>
      </rPr>
      <t>SISTEMA DOMOTICO</t>
    </r>
    <r>
      <rPr>
        <sz val="11"/>
        <color indexed="9"/>
        <rFont val="Calibri"/>
        <family val="2"/>
      </rPr>
      <t xml:space="preserve"> per l'ottimizzazione dell'autoconsumo</t>
    </r>
  </si>
  <si>
    <r>
      <t xml:space="preserve">                                                                                                                             TOTALE </t>
    </r>
    <r>
      <rPr>
        <sz val="11"/>
        <color indexed="9"/>
        <rFont val="Calibri"/>
        <family val="2"/>
      </rPr>
      <t>investimenti iniziali</t>
    </r>
  </si>
  <si>
    <r>
      <t xml:space="preserve">GAS CLIMALTERANTI
</t>
    </r>
    <r>
      <rPr>
        <sz val="10"/>
        <color indexed="9"/>
        <rFont val="Calibri"/>
        <family val="2"/>
      </rPr>
      <t>CO2 kg risparmiati</t>
    </r>
  </si>
  <si>
    <r>
      <t xml:space="preserve">POLVERI SOTTILI (PM10)
</t>
    </r>
    <r>
      <rPr>
        <sz val="10"/>
        <color indexed="9"/>
        <rFont val="Calibri"/>
        <family val="2"/>
      </rPr>
      <t>tossico nocive gr risp.</t>
    </r>
  </si>
  <si>
    <r>
      <rPr>
        <b/>
        <sz val="14"/>
        <color indexed="9"/>
        <rFont val="Calibri"/>
        <family val="2"/>
      </rPr>
      <t>DIAGRAMMA FLUSSI ECONOMIC</t>
    </r>
    <r>
      <rPr>
        <sz val="14"/>
        <color indexed="9"/>
        <rFont val="Calibri"/>
        <family val="2"/>
      </rPr>
      <t>I con o senza interventi</t>
    </r>
  </si>
  <si>
    <r>
      <rPr>
        <b/>
        <sz val="11"/>
        <color indexed="9"/>
        <rFont val="Calibri"/>
        <family val="2"/>
      </rPr>
      <t>Note:</t>
    </r>
    <r>
      <rPr>
        <sz val="11"/>
        <color indexed="9"/>
        <rFont val="Calibri"/>
        <family val="2"/>
      </rPr>
      <t xml:space="preserve"> 
</t>
    </r>
  </si>
  <si>
    <r>
      <rPr>
        <b/>
        <sz val="14"/>
        <color indexed="9"/>
        <rFont val="Calibri"/>
        <family val="2"/>
      </rPr>
      <t xml:space="preserve">INDICE DI CONSUMO ENERGETICO </t>
    </r>
    <r>
      <rPr>
        <sz val="14"/>
        <color indexed="9"/>
        <rFont val="Calibri"/>
        <family val="2"/>
      </rPr>
      <t xml:space="preserve"> prima e dopo gli interventi</t>
    </r>
  </si>
  <si>
    <r>
      <rPr>
        <b/>
        <sz val="16"/>
        <color indexed="9"/>
        <rFont val="Calibri"/>
        <family val="2"/>
      </rPr>
      <t>REPORT ANALISI ENERGETICA E PIANO ECONOMICO - Ipotesi N° 2</t>
    </r>
    <r>
      <rPr>
        <b/>
        <sz val="12"/>
        <color indexed="9"/>
        <rFont val="Calibri"/>
        <family val="2"/>
      </rPr>
      <t xml:space="preserve">
per interventi di riqualificazione energetica</t>
    </r>
  </si>
  <si>
    <r>
      <t xml:space="preserve"> - Servizi di vendita</t>
    </r>
    <r>
      <rPr>
        <sz val="9"/>
        <color indexed="9"/>
        <rFont val="Calibri"/>
        <family val="2"/>
      </rPr>
      <t>: energia e dispacciamento (PED), commercializzazione vendita (PCV), 
componenti di perequazione (PPE) e di dispacciamento (DISPbt)</t>
    </r>
  </si>
  <si>
    <r>
      <t xml:space="preserve"> - Servizi di rete</t>
    </r>
    <r>
      <rPr>
        <sz val="9"/>
        <color indexed="9"/>
        <rFont val="Calibri"/>
        <family val="2"/>
      </rPr>
      <t>: distribuzione trasporto e misura (τ1, τ2, τ3)</t>
    </r>
  </si>
  <si>
    <r>
      <t xml:space="preserve"> - Oneri generali</t>
    </r>
    <r>
      <rPr>
        <sz val="9"/>
        <color indexed="9"/>
        <rFont val="Calibri"/>
        <family val="2"/>
      </rPr>
      <t>: componenti A (A2, A3, A4, A5, As), UC (UC3, UC4, UC6, UC7) e MCT</t>
    </r>
  </si>
  <si>
    <r>
      <t xml:space="preserve"> - Servizi di vendita</t>
    </r>
    <r>
      <rPr>
        <sz val="9"/>
        <color indexed="9"/>
        <rFont val="Calibri"/>
        <family val="2"/>
      </rPr>
      <t>: energia e dispacciamento (PED), commercializzazione vendita (PCV), componenti di perequazione (PPE) e di dispacciamento (DISPbt)</t>
    </r>
  </si>
  <si>
    <r>
      <t xml:space="preserve"> - Servizi di rete</t>
    </r>
    <r>
      <rPr>
        <sz val="9"/>
        <color indexed="9"/>
        <rFont val="Calibri"/>
        <family val="2"/>
      </rPr>
      <t>: distribuzione, trasporto (TRASe), misura (MIS)</t>
    </r>
  </si>
  <si>
    <r>
      <t>*</t>
    </r>
    <r>
      <rPr>
        <sz val="8"/>
        <color indexed="9"/>
        <rFont val="Calibri"/>
        <family val="2"/>
      </rPr>
      <t xml:space="preserve"> </t>
    </r>
    <r>
      <rPr>
        <i/>
        <sz val="9"/>
        <color indexed="9"/>
        <rFont val="Calibri"/>
        <family val="2"/>
      </rPr>
      <t>Valori per consumi mensili nei limiti di 4 GWh</t>
    </r>
  </si>
  <si>
    <r>
      <t xml:space="preserve">1 </t>
    </r>
    <r>
      <rPr>
        <sz val="11"/>
        <color indexed="9"/>
        <rFont val="Times New Roman"/>
        <family val="1"/>
      </rPr>
      <t>≤ P ≤ 3</t>
    </r>
  </si>
  <si>
    <r>
      <t xml:space="preserve">1000 </t>
    </r>
    <r>
      <rPr>
        <sz val="11"/>
        <color indexed="9"/>
        <rFont val="Times New Roman"/>
        <family val="1"/>
      </rPr>
      <t>≤ P ≤ 5000</t>
    </r>
  </si>
  <si>
    <r>
      <t xml:space="preserve">1 </t>
    </r>
    <r>
      <rPr>
        <sz val="11"/>
        <color indexed="9"/>
        <rFont val="Times New Roman"/>
        <family val="1"/>
      </rPr>
      <t>≤ P ≤ 20</t>
    </r>
  </si>
  <si>
    <t>ipotesi  1
FV + PdC ACS</t>
  </si>
  <si>
    <t>ipotesi 2
FV + Solare termico</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</si>
</sst>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quot;€&quot;\ #,##0"/>
    <numFmt numFmtId="166" formatCode="&quot;€&quot;\ #,##0;[Red]&quot;€&quot;\ #,##0"/>
    <numFmt numFmtId="167" formatCode="0.000"/>
    <numFmt numFmtId="168" formatCode="&quot;€&quot;\ #,##0.00"/>
    <numFmt numFmtId="169" formatCode="0.0"/>
    <numFmt numFmtId="170" formatCode="#,##0.0"/>
    <numFmt numFmtId="171" formatCode="0.0000"/>
    <numFmt numFmtId="172" formatCode="#,##0.000"/>
    <numFmt numFmtId="173" formatCode="#,##0;[Red]#,##0"/>
    <numFmt numFmtId="174" formatCode="0.000%"/>
    <numFmt numFmtId="175" formatCode="#,##0.00_ ;[Red]\-#,##0.00\ "/>
    <numFmt numFmtId="176" formatCode="#,##0.00000_ ;[Red]\-#,##0.00000\ "/>
    <numFmt numFmtId="177" formatCode="#,##0.000000_ ;[Red]\-#,##0.000000\ "/>
    <numFmt numFmtId="178" formatCode="0.00000"/>
    <numFmt numFmtId="179" formatCode="d\ mmmm\ yyyy"/>
    <numFmt numFmtId="180" formatCode="#,##0&quot; €&quot;"/>
    <numFmt numFmtId="181" formatCode="d\-mmm\-yy;@"/>
    <numFmt numFmtId="182" formatCode="#,##0.###############"/>
    <numFmt numFmtId="183" formatCode="_-* #,##0_-;\-* #,##0_-;_-* &quot;-&quot;??_-;_-@_-"/>
    <numFmt numFmtId="184" formatCode="&quot;€&quot;\ #,##0.0"/>
    <numFmt numFmtId="185" formatCode="0.00000000"/>
    <numFmt numFmtId="186" formatCode="0.0000000"/>
    <numFmt numFmtId="187" formatCode="0.000000"/>
    <numFmt numFmtId="188" formatCode="#,##0.0000"/>
    <numFmt numFmtId="189" formatCode="#,##0.00000"/>
    <numFmt numFmtId="190" formatCode="#,##0.000000"/>
    <numFmt numFmtId="191" formatCode="[$-410]dddd\ d\ mmmm\ yyyy"/>
    <numFmt numFmtId="192" formatCode="_-* #,##0.0_-;\-* #,##0.0_-;_-* &quot;-&quot;??_-;_-@_-"/>
  </numFmts>
  <fonts count="151">
    <font>
      <sz val="11"/>
      <color theme="1"/>
      <name val="Calibri"/>
      <family val="2"/>
    </font>
    <font>
      <sz val="11"/>
      <color indexed="8"/>
      <name val="Calibri"/>
      <family val="2"/>
    </font>
    <font>
      <b/>
      <sz val="11"/>
      <name val="Calibri"/>
      <family val="2"/>
    </font>
    <font>
      <sz val="12"/>
      <color indexed="8"/>
      <name val="Calibri"/>
      <family val="2"/>
    </font>
    <font>
      <sz val="8"/>
      <name val="Calibri"/>
      <family val="2"/>
    </font>
    <font>
      <sz val="11"/>
      <name val="Calibri"/>
      <family val="2"/>
    </font>
    <font>
      <b/>
      <sz val="12"/>
      <name val="Calibri"/>
      <family val="2"/>
    </font>
    <font>
      <sz val="9"/>
      <name val="Verdana"/>
      <family val="2"/>
    </font>
    <font>
      <sz val="10"/>
      <name val="Calibri"/>
      <family val="2"/>
    </font>
    <font>
      <sz val="9"/>
      <name val="Calibri"/>
      <family val="2"/>
    </font>
    <font>
      <sz val="12"/>
      <name val="Calibri"/>
      <family val="2"/>
    </font>
    <font>
      <b/>
      <sz val="16"/>
      <name val="Calibri"/>
      <family val="2"/>
    </font>
    <font>
      <b/>
      <sz val="14"/>
      <name val="Calibri"/>
      <family val="2"/>
    </font>
    <font>
      <sz val="11"/>
      <color indexed="9"/>
      <name val="Calibri"/>
      <family val="2"/>
    </font>
    <font>
      <sz val="14"/>
      <name val="Calibri"/>
      <family val="2"/>
    </font>
    <font>
      <i/>
      <sz val="10"/>
      <name val="Calibri"/>
      <family val="2"/>
    </font>
    <font>
      <b/>
      <sz val="17"/>
      <name val="Calibri"/>
      <family val="2"/>
    </font>
    <font>
      <b/>
      <sz val="12"/>
      <color indexed="9"/>
      <name val="Calibri"/>
      <family val="2"/>
    </font>
    <font>
      <sz val="10"/>
      <name val="Tahoma"/>
      <family val="2"/>
    </font>
    <font>
      <sz val="8"/>
      <name val="Tahoma"/>
      <family val="2"/>
    </font>
    <font>
      <sz val="10"/>
      <color indexed="8"/>
      <name val="Calibri"/>
      <family val="2"/>
    </font>
    <font>
      <b/>
      <sz val="10"/>
      <color indexed="8"/>
      <name val="Calibri"/>
      <family val="2"/>
    </font>
    <font>
      <b/>
      <sz val="12"/>
      <color indexed="8"/>
      <name val="Calibri"/>
      <family val="2"/>
    </font>
    <font>
      <sz val="9"/>
      <name val="Tahoma"/>
      <family val="2"/>
    </font>
    <font>
      <sz val="11"/>
      <name val="Tahoma"/>
      <family val="2"/>
    </font>
    <font>
      <b/>
      <sz val="11"/>
      <name val="Tahoma"/>
      <family val="2"/>
    </font>
    <font>
      <sz val="11"/>
      <name val="Arial"/>
      <family val="2"/>
    </font>
    <font>
      <b/>
      <sz val="11"/>
      <color indexed="8"/>
      <name val="Calibri"/>
      <family val="2"/>
    </font>
    <font>
      <vertAlign val="superscript"/>
      <sz val="11"/>
      <color indexed="8"/>
      <name val="Calibri"/>
      <family val="2"/>
    </font>
    <font>
      <vertAlign val="superscript"/>
      <sz val="11"/>
      <name val="Calibri"/>
      <family val="2"/>
    </font>
    <font>
      <b/>
      <sz val="14"/>
      <color indexed="9"/>
      <name val="Calibri"/>
      <family val="2"/>
    </font>
    <font>
      <sz val="9"/>
      <color indexed="9"/>
      <name val="Calibri"/>
      <family val="2"/>
    </font>
    <font>
      <b/>
      <sz val="11"/>
      <color indexed="9"/>
      <name val="Calibri"/>
      <family val="2"/>
    </font>
    <font>
      <b/>
      <i/>
      <sz val="13"/>
      <color indexed="9"/>
      <name val="Calibri"/>
      <family val="2"/>
    </font>
    <font>
      <i/>
      <sz val="13"/>
      <color indexed="9"/>
      <name val="Calibri"/>
      <family val="2"/>
    </font>
    <font>
      <b/>
      <sz val="16"/>
      <color indexed="9"/>
      <name val="Calibri"/>
      <family val="2"/>
    </font>
    <font>
      <vertAlign val="superscript"/>
      <sz val="11"/>
      <color indexed="9"/>
      <name val="Calibri"/>
      <family val="2"/>
    </font>
    <font>
      <b/>
      <vertAlign val="superscript"/>
      <sz val="11"/>
      <color indexed="9"/>
      <name val="Calibri"/>
      <family val="2"/>
    </font>
    <font>
      <sz val="10"/>
      <color indexed="9"/>
      <name val="Calibri"/>
      <family val="2"/>
    </font>
    <font>
      <sz val="14"/>
      <color indexed="9"/>
      <name val="Calibri"/>
      <family val="2"/>
    </font>
    <font>
      <i/>
      <sz val="9"/>
      <color indexed="9"/>
      <name val="Calibri"/>
      <family val="2"/>
    </font>
    <font>
      <sz val="8"/>
      <color indexed="9"/>
      <name val="Calibri"/>
      <family val="2"/>
    </font>
    <font>
      <sz val="11"/>
      <color indexed="9"/>
      <name val="Times New Roman"/>
      <family val="1"/>
    </font>
    <font>
      <b/>
      <sz val="11"/>
      <color indexed="52"/>
      <name val="Calibri"/>
      <family val="2"/>
    </font>
    <font>
      <sz val="11"/>
      <color indexed="52"/>
      <name val="Calibri"/>
      <family val="2"/>
    </font>
    <font>
      <u val="single"/>
      <sz val="11"/>
      <color indexed="12"/>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9"/>
      <color indexed="9"/>
      <name val="Verdana"/>
      <family val="2"/>
    </font>
    <font>
      <i/>
      <sz val="11"/>
      <color indexed="9"/>
      <name val="Calibri"/>
      <family val="2"/>
    </font>
    <font>
      <sz val="11"/>
      <color indexed="18"/>
      <name val="Calibri"/>
      <family val="2"/>
    </font>
    <font>
      <sz val="13"/>
      <name val="Calibri"/>
      <family val="2"/>
    </font>
    <font>
      <b/>
      <sz val="8"/>
      <name val="Calibri"/>
      <family val="2"/>
    </font>
    <font>
      <b/>
      <sz val="14"/>
      <color indexed="17"/>
      <name val="Calibri"/>
      <family val="2"/>
    </font>
    <font>
      <b/>
      <sz val="14"/>
      <color indexed="18"/>
      <name val="Calibri"/>
      <family val="2"/>
    </font>
    <font>
      <b/>
      <sz val="10"/>
      <color indexed="9"/>
      <name val="Calibri"/>
      <family val="2"/>
    </font>
    <font>
      <b/>
      <sz val="18"/>
      <color indexed="9"/>
      <name val="Calibri"/>
      <family val="2"/>
    </font>
    <font>
      <sz val="12"/>
      <color indexed="9"/>
      <name val="Calibri"/>
      <family val="2"/>
    </font>
    <font>
      <i/>
      <sz val="10.5"/>
      <color indexed="9"/>
      <name val="Calibri"/>
      <family val="2"/>
    </font>
    <font>
      <sz val="10"/>
      <color indexed="9"/>
      <name val="Verdana"/>
      <family val="2"/>
    </font>
    <font>
      <sz val="8"/>
      <color indexed="9"/>
      <name val="Verdana"/>
      <family val="2"/>
    </font>
    <font>
      <b/>
      <sz val="10"/>
      <color indexed="9"/>
      <name val="Arial"/>
      <family val="2"/>
    </font>
    <font>
      <sz val="10"/>
      <color indexed="9"/>
      <name val="Arial"/>
      <family val="2"/>
    </font>
    <font>
      <u val="single"/>
      <sz val="11"/>
      <color indexed="9"/>
      <name val="Calibri"/>
      <family val="2"/>
    </font>
    <font>
      <b/>
      <sz val="11"/>
      <color indexed="9"/>
      <name val="Verdana"/>
      <family val="2"/>
    </font>
    <font>
      <b/>
      <sz val="10"/>
      <color indexed="9"/>
      <name val="Verdana"/>
      <family val="2"/>
    </font>
    <font>
      <b/>
      <sz val="12"/>
      <color indexed="9"/>
      <name val="Verdana"/>
      <family val="2"/>
    </font>
    <font>
      <b/>
      <sz val="14"/>
      <color indexed="9"/>
      <name val="Verdana"/>
      <family val="2"/>
    </font>
    <font>
      <b/>
      <sz val="16"/>
      <color indexed="9"/>
      <name val="Verdana"/>
      <family val="2"/>
    </font>
    <font>
      <sz val="22"/>
      <color indexed="9"/>
      <name val="Calibri"/>
      <family val="2"/>
    </font>
    <font>
      <b/>
      <i/>
      <sz val="10"/>
      <color indexed="9"/>
      <name val="Calibri"/>
      <family val="2"/>
    </font>
    <font>
      <b/>
      <sz val="9"/>
      <color indexed="9"/>
      <name val="Calibri"/>
      <family val="2"/>
    </font>
    <font>
      <b/>
      <sz val="9"/>
      <color indexed="8"/>
      <name val="Calibri"/>
      <family val="2"/>
    </font>
    <font>
      <b/>
      <sz val="13"/>
      <name val="Calibri"/>
      <family val="2"/>
    </font>
    <font>
      <sz val="11"/>
      <color indexed="22"/>
      <name val="Calibri"/>
      <family val="2"/>
    </font>
    <font>
      <b/>
      <sz val="18"/>
      <color indexed="18"/>
      <name val="Calibri"/>
      <family val="2"/>
    </font>
    <font>
      <sz val="9"/>
      <color indexed="9"/>
      <name val="Arial"/>
      <family val="2"/>
    </font>
    <font>
      <sz val="18"/>
      <color indexed="9"/>
      <name val="Calibri"/>
      <family val="2"/>
    </font>
    <font>
      <i/>
      <sz val="18"/>
      <color indexed="9"/>
      <name val="Calibri"/>
      <family val="2"/>
    </font>
    <font>
      <b/>
      <sz val="20"/>
      <color indexed="9"/>
      <name val="Calibri"/>
      <family val="2"/>
    </font>
    <font>
      <sz val="8"/>
      <color indexed="10"/>
      <name val="Calibri"/>
      <family val="2"/>
    </font>
    <font>
      <b/>
      <sz val="20"/>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0"/>
      <name val="Calibri"/>
      <family val="2"/>
    </font>
    <font>
      <sz val="9"/>
      <color theme="0"/>
      <name val="Verdana"/>
      <family val="2"/>
    </font>
    <font>
      <i/>
      <sz val="11"/>
      <color theme="0"/>
      <name val="Calibri"/>
      <family val="2"/>
    </font>
    <font>
      <sz val="11"/>
      <color rgb="FF21066E"/>
      <name val="Calibri"/>
      <family val="2"/>
    </font>
    <font>
      <sz val="10"/>
      <color theme="1"/>
      <name val="Calibri"/>
      <family val="2"/>
    </font>
    <font>
      <b/>
      <sz val="14"/>
      <color theme="0"/>
      <name val="Calibri"/>
      <family val="2"/>
    </font>
    <font>
      <sz val="9"/>
      <color theme="0"/>
      <name val="Calibri"/>
      <family val="2"/>
    </font>
    <font>
      <sz val="12"/>
      <color theme="1"/>
      <name val="Calibri"/>
      <family val="2"/>
    </font>
    <font>
      <b/>
      <sz val="14"/>
      <color rgb="FF006600"/>
      <name val="Calibri"/>
      <family val="2"/>
    </font>
    <font>
      <b/>
      <sz val="14"/>
      <color theme="3" tint="-0.24997000396251678"/>
      <name val="Calibri"/>
      <family val="2"/>
    </font>
    <font>
      <b/>
      <sz val="12"/>
      <color theme="1"/>
      <name val="Calibri"/>
      <family val="2"/>
    </font>
    <font>
      <b/>
      <sz val="10"/>
      <color theme="0"/>
      <name val="Calibri"/>
      <family val="2"/>
    </font>
    <font>
      <b/>
      <sz val="12"/>
      <color theme="0"/>
      <name val="Calibri"/>
      <family val="2"/>
    </font>
    <font>
      <b/>
      <sz val="18"/>
      <color theme="0"/>
      <name val="Calibri"/>
      <family val="2"/>
    </font>
    <font>
      <sz val="8"/>
      <color theme="0"/>
      <name val="Calibri"/>
      <family val="2"/>
    </font>
    <font>
      <sz val="12"/>
      <color theme="0"/>
      <name val="Calibri"/>
      <family val="2"/>
    </font>
    <font>
      <i/>
      <sz val="10.5"/>
      <color theme="0"/>
      <name val="Calibri"/>
      <family val="2"/>
    </font>
    <font>
      <sz val="10"/>
      <color theme="0"/>
      <name val="Verdana"/>
      <family val="2"/>
    </font>
    <font>
      <sz val="8"/>
      <color theme="0"/>
      <name val="Verdana"/>
      <family val="2"/>
    </font>
    <font>
      <b/>
      <sz val="10"/>
      <color theme="0"/>
      <name val="Arial"/>
      <family val="2"/>
    </font>
    <font>
      <sz val="10"/>
      <color theme="0"/>
      <name val="Arial"/>
      <family val="2"/>
    </font>
    <font>
      <sz val="14"/>
      <color theme="0"/>
      <name val="Calibri"/>
      <family val="2"/>
    </font>
    <font>
      <u val="single"/>
      <sz val="11"/>
      <color theme="0"/>
      <name val="Calibri"/>
      <family val="2"/>
    </font>
    <font>
      <b/>
      <sz val="11"/>
      <color theme="0"/>
      <name val="Verdana"/>
      <family val="2"/>
    </font>
    <font>
      <sz val="11"/>
      <color theme="0"/>
      <name val="Times New Roman"/>
      <family val="1"/>
    </font>
    <font>
      <b/>
      <sz val="16"/>
      <color theme="0"/>
      <name val="Calibri"/>
      <family val="2"/>
    </font>
    <font>
      <b/>
      <sz val="10"/>
      <color theme="0"/>
      <name val="Verdana"/>
      <family val="2"/>
    </font>
    <font>
      <b/>
      <sz val="12"/>
      <color theme="0"/>
      <name val="Verdana"/>
      <family val="2"/>
    </font>
    <font>
      <b/>
      <sz val="14"/>
      <color theme="0"/>
      <name val="Verdana"/>
      <family val="2"/>
    </font>
    <font>
      <b/>
      <sz val="16"/>
      <color theme="0"/>
      <name val="Verdana"/>
      <family val="2"/>
    </font>
    <font>
      <sz val="22"/>
      <color theme="0"/>
      <name val="Calibri"/>
      <family val="2"/>
    </font>
    <font>
      <b/>
      <i/>
      <sz val="10"/>
      <color theme="0"/>
      <name val="Calibri"/>
      <family val="2"/>
    </font>
    <font>
      <i/>
      <sz val="9"/>
      <color theme="0"/>
      <name val="Calibri"/>
      <family val="2"/>
    </font>
    <font>
      <b/>
      <sz val="9"/>
      <color theme="0"/>
      <name val="Calibri"/>
      <family val="2"/>
    </font>
    <font>
      <b/>
      <sz val="18"/>
      <color rgb="FF071F97"/>
      <name val="Calibri"/>
      <family val="2"/>
    </font>
    <font>
      <sz val="11"/>
      <color theme="0" tint="-0.04997999966144562"/>
      <name val="Calibri"/>
      <family val="2"/>
    </font>
    <font>
      <b/>
      <sz val="9"/>
      <color theme="1"/>
      <name val="Calibri"/>
      <family val="2"/>
    </font>
    <font>
      <sz val="9"/>
      <color theme="0"/>
      <name val="Arial"/>
      <family val="2"/>
    </font>
    <font>
      <sz val="18"/>
      <color theme="0"/>
      <name val="Calibri"/>
      <family val="2"/>
    </font>
    <font>
      <i/>
      <sz val="18"/>
      <color theme="0"/>
      <name val="Calibri"/>
      <family val="2"/>
    </font>
    <font>
      <i/>
      <sz val="13"/>
      <color theme="0"/>
      <name val="Calibri"/>
      <family val="2"/>
    </font>
    <font>
      <b/>
      <sz val="20"/>
      <color theme="0"/>
      <name val="Calibri"/>
      <family val="2"/>
    </font>
    <font>
      <sz val="8"/>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00007A"/>
        <bgColor indexed="64"/>
      </patternFill>
    </fill>
    <fill>
      <patternFill patternType="solid">
        <fgColor rgb="FF00007A"/>
        <bgColor indexed="64"/>
      </patternFill>
    </fill>
    <fill>
      <patternFill patternType="solid">
        <fgColor rgb="FF66CCFF"/>
        <bgColor indexed="64"/>
      </patternFill>
    </fill>
    <fill>
      <patternFill patternType="solid">
        <fgColor indexed="44"/>
        <bgColor indexed="64"/>
      </patternFill>
    </fill>
    <fill>
      <patternFill patternType="solid">
        <fgColor indexed="18"/>
        <bgColor indexed="64"/>
      </patternFill>
    </fill>
    <fill>
      <patternFill patternType="solid">
        <fgColor theme="0" tint="-0.04997999966144562"/>
        <bgColor indexed="64"/>
      </patternFill>
    </fill>
    <fill>
      <patternFill patternType="solid">
        <fgColor rgb="FFCCFFFF"/>
        <bgColor indexed="64"/>
      </patternFill>
    </fill>
    <fill>
      <patternFill patternType="solid">
        <fgColor rgb="FF99CCFF"/>
        <bgColor indexed="64"/>
      </patternFill>
    </fill>
    <fill>
      <patternFill patternType="solid">
        <fgColor rgb="FF008000"/>
        <bgColor indexed="64"/>
      </patternFill>
    </fill>
    <fill>
      <patternFill patternType="solid">
        <fgColor rgb="FF33CC33"/>
        <bgColor indexed="64"/>
      </patternFill>
    </fill>
    <fill>
      <patternFill patternType="solid">
        <fgColor rgb="FFCCFF66"/>
        <bgColor indexed="64"/>
      </patternFill>
    </fill>
    <fill>
      <patternFill patternType="solid">
        <fgColor rgb="FFFFC000"/>
        <bgColor indexed="64"/>
      </patternFill>
    </fill>
    <fill>
      <patternFill patternType="solid">
        <fgColor rgb="FFFF9900"/>
        <bgColor indexed="64"/>
      </patternFill>
    </fill>
    <fill>
      <patternFill patternType="solid">
        <fgColor rgb="FFFF6600"/>
        <bgColor indexed="64"/>
      </patternFill>
    </fill>
    <fill>
      <patternFill patternType="solid">
        <fgColor rgb="FFFF3300"/>
        <bgColor indexed="64"/>
      </patternFill>
    </fill>
    <fill>
      <patternFill patternType="solid">
        <fgColor rgb="FF002060"/>
        <bgColor indexed="64"/>
      </patternFill>
    </fill>
    <fill>
      <patternFill patternType="solid">
        <fgColor indexed="27"/>
        <bgColor indexed="64"/>
      </patternFill>
    </fill>
    <fill>
      <patternFill patternType="solid">
        <fgColor theme="0" tint="-0.0499799996614456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3499799966812134"/>
      </left>
      <right style="thin">
        <color theme="0" tint="-0.24993999302387238"/>
      </right>
      <top style="thick">
        <color theme="0" tint="-0.3499799966812134"/>
      </top>
      <bottom style="medium">
        <color theme="0" tint="-0.3499799966812134"/>
      </bottom>
    </border>
    <border>
      <left style="medium">
        <color theme="0" tint="-0.3499799966812134"/>
      </left>
      <right style="thin">
        <color theme="0" tint="-0.24993999302387238"/>
      </right>
      <top style="medium">
        <color theme="0" tint="-0.3499799966812134"/>
      </top>
      <bottom style="medium">
        <color theme="0" tint="-0.3499799966812134"/>
      </bottom>
    </border>
    <border>
      <left style="medium">
        <color indexed="55"/>
      </left>
      <right style="medium">
        <color indexed="55"/>
      </right>
      <top style="medium">
        <color indexed="55"/>
      </top>
      <bottom style="medium">
        <color indexed="55"/>
      </bottom>
    </border>
    <border>
      <left style="medium">
        <color indexed="55"/>
      </left>
      <right/>
      <top style="medium">
        <color indexed="55"/>
      </top>
      <bottom style="medium">
        <color indexed="55"/>
      </bottom>
    </border>
    <border>
      <left style="medium">
        <color indexed="55"/>
      </left>
      <right/>
      <top style="medium">
        <color indexed="55"/>
      </top>
      <bottom/>
    </border>
    <border>
      <left/>
      <right/>
      <top style="medium">
        <color theme="0" tint="-0.3499799966812134"/>
      </top>
      <bottom style="medium">
        <color theme="0" tint="-0.3499799966812134"/>
      </bottom>
    </border>
    <border>
      <left/>
      <right/>
      <top style="thin"/>
      <bottom/>
    </border>
    <border>
      <left/>
      <right/>
      <top/>
      <bottom style="thin"/>
    </border>
    <border>
      <left/>
      <right/>
      <top/>
      <bottom style="thin">
        <color indexed="8"/>
      </bottom>
    </border>
    <border>
      <left style="medium">
        <color theme="0" tint="-0.3499799966812134"/>
      </left>
      <right style="thin">
        <color theme="0" tint="-0.24993999302387238"/>
      </right>
      <top/>
      <bottom/>
    </border>
    <border>
      <left style="thin">
        <color theme="0" tint="-0.24993999302387238"/>
      </left>
      <right/>
      <top/>
      <bottom/>
    </border>
    <border>
      <left/>
      <right/>
      <top style="thin"/>
      <bottom style="thin"/>
    </border>
    <border>
      <left/>
      <right/>
      <top style="thin">
        <color indexed="8"/>
      </top>
      <bottom style="thin">
        <color indexed="8"/>
      </bottom>
    </border>
    <border>
      <left/>
      <right/>
      <top style="thin">
        <color indexed="8"/>
      </top>
      <bottom/>
    </border>
    <border>
      <left/>
      <right/>
      <top style="thin">
        <color indexed="8"/>
      </top>
      <bottom style="thin"/>
    </border>
    <border>
      <left/>
      <right/>
      <top/>
      <bottom style="medium">
        <color indexed="55"/>
      </bottom>
    </border>
    <border>
      <left/>
      <right/>
      <top style="medium">
        <color indexed="55"/>
      </top>
      <bottom style="medium">
        <color indexed="55"/>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style="thin"/>
      <top style="thin"/>
      <bottom style="thin"/>
    </border>
    <border>
      <left style="thin"/>
      <right style="thin"/>
      <top/>
      <bottom style="thin"/>
    </border>
    <border>
      <left style="thin"/>
      <right style="thin"/>
      <top style="thin"/>
      <bottom/>
    </border>
    <border>
      <left style="medium">
        <color theme="0" tint="-0.3499799966812134"/>
      </left>
      <right/>
      <top style="medium">
        <color theme="0" tint="-0.3499799966812134"/>
      </top>
      <bottom style="medium">
        <color theme="0" tint="-0.3499799966812134"/>
      </bottom>
    </border>
    <border>
      <left style="medium">
        <color theme="0" tint="-0.3499799966812134"/>
      </left>
      <right style="medium">
        <color theme="0" tint="-0.3499799966812134"/>
      </right>
      <top style="medium">
        <color theme="0" tint="-0.3499799966812134"/>
      </top>
      <bottom/>
    </border>
    <border>
      <left style="medium">
        <color theme="0" tint="-0.3499799966812134"/>
      </left>
      <right style="medium">
        <color theme="0" tint="-0.3499799966812134"/>
      </right>
      <top/>
      <bottom style="medium">
        <color theme="0" tint="-0.3499799966812134"/>
      </bottom>
    </border>
    <border>
      <left style="medium">
        <color theme="0" tint="-0.3499799966812134"/>
      </left>
      <right/>
      <top style="medium">
        <color theme="0" tint="-0.3499799966812134"/>
      </top>
      <bottom/>
    </border>
    <border>
      <left/>
      <right/>
      <top style="medium">
        <color theme="0" tint="-0.3499799966812134"/>
      </top>
      <bottom/>
    </border>
    <border>
      <left/>
      <right style="medium">
        <color theme="0" tint="-0.3499799966812134"/>
      </right>
      <top style="medium">
        <color theme="0" tint="-0.3499799966812134"/>
      </top>
      <bottom/>
    </border>
    <border>
      <left style="medium">
        <color theme="0" tint="-0.3499799966812134"/>
      </left>
      <right/>
      <top/>
      <bottom style="medium">
        <color theme="0" tint="-0.3499799966812134"/>
      </bottom>
    </border>
    <border>
      <left/>
      <right/>
      <top/>
      <bottom style="medium">
        <color theme="0" tint="-0.3499799966812134"/>
      </bottom>
    </border>
    <border>
      <left/>
      <right style="medium">
        <color theme="0" tint="-0.3499799966812134"/>
      </right>
      <top/>
      <bottom style="medium">
        <color theme="0" tint="-0.3499799966812134"/>
      </bottom>
    </border>
    <border>
      <left style="medium">
        <color indexed="55"/>
      </left>
      <right/>
      <top style="medium">
        <color indexed="55"/>
      </top>
      <bottom style="medium">
        <color theme="0" tint="-0.3499799966812134"/>
      </bottom>
    </border>
    <border>
      <left/>
      <right/>
      <top style="medium">
        <color indexed="55"/>
      </top>
      <bottom style="medium">
        <color theme="0" tint="-0.3499799966812134"/>
      </bottom>
    </border>
    <border>
      <left/>
      <right style="thin">
        <color indexed="55"/>
      </right>
      <top style="medium">
        <color theme="0" tint="-0.3499799966812134"/>
      </top>
      <bottom style="medium">
        <color theme="0" tint="-0.3499799966812134"/>
      </bottom>
    </border>
    <border>
      <left/>
      <right style="medium">
        <color indexed="55"/>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2" fillId="20" borderId="1" applyNumberFormat="0" applyAlignment="0" applyProtection="0"/>
    <xf numFmtId="0" fontId="93" fillId="0" borderId="2" applyNumberFormat="0" applyFill="0" applyAlignment="0" applyProtection="0"/>
    <xf numFmtId="0" fontId="94" fillId="21" borderId="3" applyNumberFormat="0" applyAlignment="0" applyProtection="0"/>
    <xf numFmtId="0" fontId="95" fillId="0" borderId="0" applyNumberFormat="0" applyFill="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1" fillId="26" borderId="0" applyNumberFormat="0" applyBorder="0" applyAlignment="0" applyProtection="0"/>
    <xf numFmtId="0" fontId="91" fillId="27" borderId="0" applyNumberFormat="0" applyBorder="0" applyAlignment="0" applyProtection="0"/>
    <xf numFmtId="0" fontId="9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7" fillId="29" borderId="0" applyNumberFormat="0" applyBorder="0" applyAlignment="0" applyProtection="0"/>
    <xf numFmtId="0" fontId="7" fillId="0" borderId="0">
      <alignment/>
      <protection/>
    </xf>
    <xf numFmtId="0" fontId="0" fillId="30" borderId="4" applyNumberFormat="0" applyFont="0" applyAlignment="0" applyProtection="0"/>
    <xf numFmtId="0" fontId="98" fillId="20" borderId="5" applyNumberFormat="0" applyAlignment="0" applyProtection="0"/>
    <xf numFmtId="9" fontId="3"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6" applyNumberFormat="0" applyFill="0" applyAlignment="0" applyProtection="0"/>
    <xf numFmtId="0" fontId="103" fillId="0" borderId="7" applyNumberFormat="0" applyFill="0" applyAlignment="0" applyProtection="0"/>
    <xf numFmtId="0" fontId="104" fillId="0" borderId="8" applyNumberFormat="0" applyFill="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31" borderId="0" applyNumberFormat="0" applyBorder="0" applyAlignment="0" applyProtection="0"/>
    <xf numFmtId="0" fontId="10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64">
    <xf numFmtId="0" fontId="0" fillId="0" borderId="0" xfId="0" applyFont="1" applyAlignment="1">
      <alignment/>
    </xf>
    <xf numFmtId="0" fontId="91" fillId="0" borderId="0" xfId="0" applyFont="1" applyAlignment="1">
      <alignment/>
    </xf>
    <xf numFmtId="0" fontId="5" fillId="0" borderId="0" xfId="0" applyFont="1" applyAlignment="1">
      <alignment/>
    </xf>
    <xf numFmtId="0" fontId="91" fillId="0" borderId="0" xfId="0" applyFont="1" applyFill="1" applyBorder="1" applyAlignment="1">
      <alignment/>
    </xf>
    <xf numFmtId="0" fontId="108" fillId="0" borderId="0" xfId="0" applyFont="1" applyFill="1" applyBorder="1" applyAlignment="1">
      <alignment/>
    </xf>
    <xf numFmtId="0" fontId="108" fillId="0" borderId="0" xfId="0" applyFont="1" applyFill="1" applyBorder="1" applyAlignment="1">
      <alignment vertical="center"/>
    </xf>
    <xf numFmtId="4" fontId="91" fillId="0" borderId="0" xfId="0" applyNumberFormat="1" applyFont="1" applyFill="1" applyBorder="1" applyAlignment="1">
      <alignment/>
    </xf>
    <xf numFmtId="4" fontId="109" fillId="0" borderId="0" xfId="47" applyNumberFormat="1" applyFont="1" applyFill="1" applyBorder="1" applyAlignment="1">
      <alignment vertical="center"/>
      <protection/>
    </xf>
    <xf numFmtId="0" fontId="91" fillId="0" borderId="0" xfId="0" applyFont="1" applyFill="1" applyBorder="1" applyAlignment="1">
      <alignment/>
    </xf>
    <xf numFmtId="0" fontId="110" fillId="0" borderId="0" xfId="0" applyFont="1" applyFill="1" applyBorder="1" applyAlignment="1">
      <alignment horizontal="center"/>
    </xf>
    <xf numFmtId="1" fontId="5" fillId="0" borderId="0" xfId="0" applyNumberFormat="1" applyFont="1" applyAlignment="1">
      <alignment/>
    </xf>
    <xf numFmtId="0" fontId="99" fillId="0" borderId="0" xfId="0" applyFont="1" applyAlignment="1">
      <alignment/>
    </xf>
    <xf numFmtId="3" fontId="5" fillId="0" borderId="10" xfId="0" applyNumberFormat="1" applyFont="1" applyFill="1" applyBorder="1" applyAlignment="1" applyProtection="1">
      <alignment horizontal="center"/>
      <protection hidden="1" locked="0"/>
    </xf>
    <xf numFmtId="3" fontId="5" fillId="0" borderId="11" xfId="0" applyNumberFormat="1" applyFont="1" applyFill="1" applyBorder="1" applyAlignment="1" applyProtection="1">
      <alignment horizontal="center"/>
      <protection hidden="1" locked="0"/>
    </xf>
    <xf numFmtId="170" fontId="5" fillId="0" borderId="11" xfId="0" applyNumberFormat="1" applyFont="1" applyFill="1" applyBorder="1" applyAlignment="1" applyProtection="1">
      <alignment horizontal="center"/>
      <protection hidden="1" locked="0"/>
    </xf>
    <xf numFmtId="170" fontId="5" fillId="0" borderId="12" xfId="0" applyNumberFormat="1" applyFont="1" applyFill="1" applyBorder="1" applyAlignment="1" applyProtection="1">
      <alignment horizontal="center"/>
      <protection hidden="1" locked="0"/>
    </xf>
    <xf numFmtId="3" fontId="5" fillId="0" borderId="13" xfId="0" applyNumberFormat="1" applyFont="1" applyFill="1" applyBorder="1" applyAlignment="1" applyProtection="1">
      <alignment horizontal="center"/>
      <protection hidden="1" locked="0"/>
    </xf>
    <xf numFmtId="9" fontId="5" fillId="0" borderId="13" xfId="0" applyNumberFormat="1" applyFont="1" applyFill="1" applyBorder="1" applyAlignment="1" applyProtection="1">
      <alignment horizontal="center"/>
      <protection hidden="1" locked="0"/>
    </xf>
    <xf numFmtId="3" fontId="5" fillId="0" borderId="14" xfId="0" applyNumberFormat="1" applyFont="1" applyFill="1" applyBorder="1" applyAlignment="1" applyProtection="1">
      <alignment horizontal="center"/>
      <protection hidden="1" locked="0"/>
    </xf>
    <xf numFmtId="0" fontId="5" fillId="0" borderId="0" xfId="0" applyFont="1" applyFill="1" applyBorder="1" applyAlignment="1" applyProtection="1">
      <alignment/>
      <protection hidden="1" locked="0"/>
    </xf>
    <xf numFmtId="3" fontId="5" fillId="0" borderId="15" xfId="0" applyNumberFormat="1" applyFont="1" applyFill="1" applyBorder="1" applyAlignment="1" applyProtection="1">
      <alignment horizontal="center"/>
      <protection hidden="1" locked="0"/>
    </xf>
    <xf numFmtId="0" fontId="5" fillId="0" borderId="0" xfId="0" applyFont="1" applyAlignment="1" applyProtection="1">
      <alignment/>
      <protection hidden="1" locked="0"/>
    </xf>
    <xf numFmtId="0" fontId="5" fillId="0" borderId="0" xfId="0" applyFont="1" applyAlignment="1" applyProtection="1">
      <alignment/>
      <protection hidden="1" locked="0"/>
    </xf>
    <xf numFmtId="0" fontId="4" fillId="0" borderId="0" xfId="0" applyFont="1" applyAlignment="1" applyProtection="1">
      <alignment/>
      <protection hidden="1" locked="0"/>
    </xf>
    <xf numFmtId="0" fontId="4" fillId="0" borderId="0" xfId="0" applyFont="1" applyBorder="1" applyAlignment="1" applyProtection="1">
      <alignment horizontal="right"/>
      <protection hidden="1" locked="0"/>
    </xf>
    <xf numFmtId="0" fontId="5" fillId="0" borderId="0" xfId="0" applyFont="1" applyBorder="1" applyAlignment="1" applyProtection="1">
      <alignment/>
      <protection hidden="1" locked="0"/>
    </xf>
    <xf numFmtId="0" fontId="5" fillId="0" borderId="0" xfId="0" applyFont="1" applyFill="1" applyAlignment="1" applyProtection="1">
      <alignment/>
      <protection hidden="1" locked="0"/>
    </xf>
    <xf numFmtId="0" fontId="111" fillId="0" borderId="0" xfId="0" applyFont="1" applyAlignment="1" applyProtection="1">
      <alignment/>
      <protection hidden="1" locked="0"/>
    </xf>
    <xf numFmtId="0" fontId="16" fillId="0" borderId="0" xfId="0" applyFont="1" applyFill="1" applyBorder="1" applyAlignment="1" applyProtection="1">
      <alignment horizontal="left" vertical="center" wrapText="1"/>
      <protection hidden="1" locked="0"/>
    </xf>
    <xf numFmtId="0" fontId="5" fillId="0" borderId="0" xfId="0" applyFont="1" applyAlignment="1" applyProtection="1">
      <alignment vertical="center" wrapText="1"/>
      <protection hidden="1" locked="0"/>
    </xf>
    <xf numFmtId="0" fontId="5" fillId="33" borderId="0" xfId="0" applyFont="1" applyFill="1" applyBorder="1" applyAlignment="1" applyProtection="1">
      <alignment vertical="center" wrapText="1"/>
      <protection hidden="1" locked="0"/>
    </xf>
    <xf numFmtId="0" fontId="5" fillId="34" borderId="0" xfId="0" applyFont="1" applyFill="1" applyBorder="1" applyAlignment="1" applyProtection="1">
      <alignment vertical="center" wrapText="1"/>
      <protection hidden="1" locked="0"/>
    </xf>
    <xf numFmtId="0" fontId="12" fillId="35" borderId="16" xfId="0" applyFont="1" applyFill="1" applyBorder="1" applyAlignment="1" applyProtection="1">
      <alignment vertical="center" wrapText="1"/>
      <protection hidden="1" locked="0"/>
    </xf>
    <xf numFmtId="0" fontId="91" fillId="0" borderId="0" xfId="0" applyFont="1" applyFill="1" applyBorder="1" applyAlignment="1" applyProtection="1">
      <alignment vertical="center" wrapText="1"/>
      <protection hidden="1" locked="0"/>
    </xf>
    <xf numFmtId="0" fontId="6" fillId="36" borderId="17" xfId="0" applyFont="1" applyFill="1" applyBorder="1" applyAlignment="1" applyProtection="1">
      <alignment horizontal="left" vertical="center"/>
      <protection hidden="1" locked="0"/>
    </xf>
    <xf numFmtId="0" fontId="0" fillId="0" borderId="0" xfId="0" applyBorder="1" applyAlignment="1" applyProtection="1">
      <alignment horizontal="left" vertical="center"/>
      <protection hidden="1" locked="0"/>
    </xf>
    <xf numFmtId="0" fontId="12" fillId="0" borderId="0" xfId="0" applyFont="1" applyFill="1" applyBorder="1" applyAlignment="1" applyProtection="1">
      <alignment horizontal="left" wrapText="1"/>
      <protection hidden="1" locked="0"/>
    </xf>
    <xf numFmtId="0" fontId="6" fillId="0" borderId="0" xfId="0" applyFont="1" applyFill="1" applyBorder="1" applyAlignment="1" applyProtection="1">
      <alignment vertical="center" wrapText="1"/>
      <protection hidden="1" locked="0"/>
    </xf>
    <xf numFmtId="0" fontId="2" fillId="0" borderId="0" xfId="0" applyFont="1" applyFill="1" applyBorder="1" applyAlignment="1" applyProtection="1">
      <alignment vertical="center" wrapText="1"/>
      <protection hidden="1" locked="0"/>
    </xf>
    <xf numFmtId="0" fontId="2" fillId="0" borderId="0" xfId="0" applyFont="1" applyFill="1" applyBorder="1" applyAlignment="1" applyProtection="1">
      <alignment horizontal="center" vertical="center" wrapText="1"/>
      <protection hidden="1" locked="0"/>
    </xf>
    <xf numFmtId="0" fontId="5" fillId="0" borderId="18" xfId="0" applyFont="1" applyBorder="1" applyAlignment="1" applyProtection="1">
      <alignment horizontal="left" vertical="center" wrapText="1"/>
      <protection hidden="1" locked="0"/>
    </xf>
    <xf numFmtId="0" fontId="5" fillId="0" borderId="19" xfId="0" applyFont="1" applyFill="1" applyBorder="1" applyAlignment="1" applyProtection="1">
      <alignment vertical="center" wrapText="1"/>
      <protection hidden="1" locked="0"/>
    </xf>
    <xf numFmtId="0" fontId="5" fillId="0" borderId="20" xfId="0" applyFont="1" applyBorder="1" applyAlignment="1" applyProtection="1">
      <alignment vertical="center" wrapText="1"/>
      <protection hidden="1" locked="0"/>
    </xf>
    <xf numFmtId="0" fontId="0" fillId="0" borderId="17" xfId="0" applyFont="1" applyBorder="1" applyAlignment="1" applyProtection="1">
      <alignment vertical="center" wrapText="1"/>
      <protection hidden="1" locked="0"/>
    </xf>
    <xf numFmtId="0" fontId="5" fillId="0" borderId="0" xfId="0" applyFont="1" applyBorder="1" applyAlignment="1" applyProtection="1">
      <alignment vertical="center" wrapText="1"/>
      <protection hidden="1" locked="0"/>
    </xf>
    <xf numFmtId="0" fontId="0" fillId="0" borderId="21" xfId="0" applyBorder="1" applyAlignment="1" applyProtection="1">
      <alignment horizontal="left" vertical="center" wrapText="1"/>
      <protection hidden="1" locked="0"/>
    </xf>
    <xf numFmtId="0" fontId="0" fillId="0" borderId="17" xfId="0" applyFont="1" applyFill="1" applyBorder="1" applyAlignment="1" applyProtection="1">
      <alignment vertical="center" wrapText="1"/>
      <protection hidden="1" locked="0"/>
    </xf>
    <xf numFmtId="0" fontId="112" fillId="0" borderId="21" xfId="0" applyFont="1" applyFill="1" applyBorder="1" applyAlignment="1" applyProtection="1">
      <alignment horizontal="left" vertical="center" wrapText="1"/>
      <protection hidden="1" locked="0"/>
    </xf>
    <xf numFmtId="0" fontId="0" fillId="0" borderId="21" xfId="0" applyFont="1" applyBorder="1" applyAlignment="1" applyProtection="1">
      <alignment vertical="center" wrapText="1"/>
      <protection hidden="1" locked="0"/>
    </xf>
    <xf numFmtId="0" fontId="0" fillId="0" borderId="21" xfId="0" applyFill="1" applyBorder="1" applyAlignment="1" applyProtection="1">
      <alignment horizontal="left" vertical="center" wrapText="1"/>
      <protection hidden="1" locked="0"/>
    </xf>
    <xf numFmtId="0" fontId="5" fillId="0" borderId="22" xfId="0" applyFont="1" applyBorder="1" applyAlignment="1" applyProtection="1">
      <alignment vertical="center" wrapText="1"/>
      <protection hidden="1" locked="0"/>
    </xf>
    <xf numFmtId="0" fontId="2" fillId="0" borderId="18" xfId="0" applyFont="1" applyBorder="1" applyAlignment="1" applyProtection="1">
      <alignment horizontal="right" vertical="center" wrapText="1"/>
      <protection hidden="1" locked="0"/>
    </xf>
    <xf numFmtId="165" fontId="2" fillId="0" borderId="18" xfId="0" applyNumberFormat="1" applyFont="1" applyBorder="1" applyAlignment="1" applyProtection="1">
      <alignment horizontal="left" vertical="center" wrapText="1"/>
      <protection hidden="1" locked="0"/>
    </xf>
    <xf numFmtId="0" fontId="94" fillId="0" borderId="18" xfId="0" applyFont="1" applyBorder="1" applyAlignment="1" applyProtection="1">
      <alignment horizontal="center" vertical="center" wrapText="1"/>
      <protection hidden="1" locked="0"/>
    </xf>
    <xf numFmtId="1" fontId="94" fillId="0" borderId="18" xfId="0" applyNumberFormat="1" applyFont="1" applyFill="1" applyBorder="1" applyAlignment="1" applyProtection="1">
      <alignment horizontal="left" vertical="center" wrapText="1"/>
      <protection hidden="1" locked="0"/>
    </xf>
    <xf numFmtId="0" fontId="5" fillId="0" borderId="18" xfId="0" applyFont="1" applyBorder="1" applyAlignment="1" applyProtection="1">
      <alignment horizontal="center" vertical="center" wrapText="1"/>
      <protection hidden="1" locked="0"/>
    </xf>
    <xf numFmtId="0" fontId="0" fillId="0" borderId="21" xfId="0" applyFont="1" applyFill="1" applyBorder="1" applyAlignment="1" applyProtection="1">
      <alignment vertical="center" wrapText="1"/>
      <protection hidden="1" locked="0"/>
    </xf>
    <xf numFmtId="0" fontId="113" fillId="37" borderId="23" xfId="0" applyFont="1" applyFill="1" applyBorder="1" applyAlignment="1" applyProtection="1">
      <alignment wrapText="1"/>
      <protection hidden="1" locked="0"/>
    </xf>
    <xf numFmtId="0" fontId="91" fillId="37" borderId="23" xfId="0" applyFont="1" applyFill="1" applyBorder="1" applyAlignment="1" applyProtection="1">
      <alignment vertical="center" wrapText="1"/>
      <protection hidden="1" locked="0"/>
    </xf>
    <xf numFmtId="0" fontId="114" fillId="37" borderId="24" xfId="0" applyFont="1" applyFill="1" applyBorder="1" applyAlignment="1" applyProtection="1">
      <alignment horizontal="center" wrapText="1"/>
      <protection hidden="1" locked="0"/>
    </xf>
    <xf numFmtId="0" fontId="91" fillId="37" borderId="24" xfId="0" applyFont="1" applyFill="1" applyBorder="1" applyAlignment="1" applyProtection="1">
      <alignment vertical="center" wrapText="1"/>
      <protection hidden="1" locked="0"/>
    </xf>
    <xf numFmtId="0" fontId="9" fillId="0" borderId="0" xfId="0" applyFont="1" applyFill="1" applyBorder="1" applyAlignment="1" applyProtection="1">
      <alignment horizontal="center" wrapText="1"/>
      <protection hidden="1" locked="0"/>
    </xf>
    <xf numFmtId="0" fontId="5" fillId="0" borderId="0" xfId="0" applyFont="1" applyFill="1" applyBorder="1" applyAlignment="1" applyProtection="1">
      <alignment vertical="center" wrapText="1"/>
      <protection hidden="1" locked="0"/>
    </xf>
    <xf numFmtId="0" fontId="9" fillId="0" borderId="0" xfId="0" applyFont="1" applyFill="1" applyBorder="1" applyAlignment="1" applyProtection="1">
      <alignment horizontal="center" vertical="center" wrapText="1"/>
      <protection hidden="1" locked="0"/>
    </xf>
    <xf numFmtId="0" fontId="5" fillId="0" borderId="0" xfId="0" applyFont="1" applyFill="1" applyBorder="1" applyAlignment="1" applyProtection="1">
      <alignment vertical="center" wrapText="1"/>
      <protection hidden="1" locked="0"/>
    </xf>
    <xf numFmtId="0" fontId="5" fillId="38" borderId="0" xfId="0" applyFont="1" applyFill="1" applyBorder="1" applyAlignment="1" applyProtection="1">
      <alignment horizontal="center" vertical="center"/>
      <protection hidden="1" locked="0"/>
    </xf>
    <xf numFmtId="165" fontId="5" fillId="39" borderId="0" xfId="0" applyNumberFormat="1" applyFont="1" applyFill="1" applyBorder="1" applyAlignment="1" applyProtection="1">
      <alignment horizontal="center" vertical="center"/>
      <protection hidden="1" locked="0"/>
    </xf>
    <xf numFmtId="0" fontId="5" fillId="39" borderId="0" xfId="0" applyFont="1" applyFill="1" applyBorder="1" applyAlignment="1" applyProtection="1">
      <alignment horizontal="center" vertical="center"/>
      <protection hidden="1" locked="0"/>
    </xf>
    <xf numFmtId="0" fontId="0" fillId="0" borderId="17" xfId="0" applyFill="1" applyBorder="1" applyAlignment="1" applyProtection="1">
      <alignment vertical="center" wrapText="1"/>
      <protection hidden="1" locked="0"/>
    </xf>
    <xf numFmtId="0" fontId="5" fillId="0" borderId="25" xfId="0" applyFont="1" applyFill="1" applyBorder="1" applyAlignment="1" applyProtection="1">
      <alignment vertical="center" wrapText="1"/>
      <protection hidden="1" locked="0"/>
    </xf>
    <xf numFmtId="0" fontId="5" fillId="0" borderId="0" xfId="0" applyFont="1" applyFill="1" applyAlignment="1" applyProtection="1">
      <alignment vertical="center" wrapText="1"/>
      <protection hidden="1" locked="0"/>
    </xf>
    <xf numFmtId="0" fontId="2" fillId="0" borderId="17" xfId="0" applyFont="1" applyFill="1" applyBorder="1" applyAlignment="1" applyProtection="1">
      <alignment vertical="center" wrapText="1"/>
      <protection hidden="1" locked="0"/>
    </xf>
    <xf numFmtId="0" fontId="6" fillId="0" borderId="0" xfId="0" applyFont="1" applyAlignment="1" applyProtection="1">
      <alignment vertical="center" wrapText="1"/>
      <protection hidden="1" locked="0"/>
    </xf>
    <xf numFmtId="0" fontId="10" fillId="0" borderId="0" xfId="0" applyFont="1" applyAlignment="1" applyProtection="1">
      <alignment vertical="center" wrapText="1"/>
      <protection hidden="1" locked="0"/>
    </xf>
    <xf numFmtId="0" fontId="5" fillId="0" borderId="26" xfId="0" applyFont="1" applyFill="1" applyBorder="1" applyAlignment="1" applyProtection="1">
      <alignment vertical="center" wrapText="1"/>
      <protection hidden="1" locked="0"/>
    </xf>
    <xf numFmtId="0" fontId="6" fillId="0" borderId="17" xfId="0" applyFont="1" applyBorder="1" applyAlignment="1" applyProtection="1">
      <alignment vertical="center"/>
      <protection hidden="1" locked="0"/>
    </xf>
    <xf numFmtId="0" fontId="115" fillId="0" borderId="0" xfId="0" applyFont="1" applyBorder="1" applyAlignment="1" applyProtection="1">
      <alignment vertical="center"/>
      <protection hidden="1" locked="0"/>
    </xf>
    <xf numFmtId="0" fontId="60" fillId="0" borderId="0" xfId="0" applyFont="1" applyBorder="1" applyAlignment="1" applyProtection="1">
      <alignment vertical="center" wrapText="1"/>
      <protection hidden="1" locked="0"/>
    </xf>
    <xf numFmtId="0" fontId="115" fillId="0" borderId="0" xfId="0" applyFont="1" applyFill="1" applyBorder="1" applyAlignment="1" applyProtection="1">
      <alignment vertical="center" wrapText="1"/>
      <protection hidden="1" locked="0"/>
    </xf>
    <xf numFmtId="0" fontId="10" fillId="0" borderId="0" xfId="0" applyFont="1" applyBorder="1" applyAlignment="1" applyProtection="1">
      <alignment vertical="center" wrapText="1"/>
      <protection hidden="1" locked="0"/>
    </xf>
    <xf numFmtId="9" fontId="60" fillId="0" borderId="0" xfId="0" applyNumberFormat="1" applyFont="1" applyAlignment="1" applyProtection="1">
      <alignment vertical="center" wrapText="1"/>
      <protection hidden="1" locked="0"/>
    </xf>
    <xf numFmtId="9" fontId="5" fillId="0" borderId="0" xfId="0" applyNumberFormat="1" applyFont="1" applyAlignment="1" applyProtection="1">
      <alignment vertical="center" wrapText="1"/>
      <protection hidden="1" locked="0"/>
    </xf>
    <xf numFmtId="0" fontId="0" fillId="0" borderId="21" xfId="0" applyBorder="1" applyAlignment="1" applyProtection="1">
      <alignment vertical="center" wrapText="1"/>
      <protection hidden="1" locked="0"/>
    </xf>
    <xf numFmtId="0" fontId="105" fillId="0" borderId="21" xfId="0" applyFont="1" applyBorder="1" applyAlignment="1" applyProtection="1">
      <alignment vertical="center" wrapText="1"/>
      <protection hidden="1" locked="0"/>
    </xf>
    <xf numFmtId="0" fontId="6" fillId="36" borderId="0" xfId="0" applyFont="1" applyFill="1" applyBorder="1" applyAlignment="1" applyProtection="1">
      <alignment horizontal="left" vertical="center"/>
      <protection hidden="1" locked="0"/>
    </xf>
    <xf numFmtId="0" fontId="0" fillId="40" borderId="0" xfId="0" applyFill="1" applyBorder="1" applyAlignment="1" applyProtection="1">
      <alignment horizontal="left" vertical="center"/>
      <protection hidden="1" locked="0"/>
    </xf>
    <xf numFmtId="9" fontId="5" fillId="40" borderId="17" xfId="0" applyNumberFormat="1" applyFont="1" applyFill="1" applyBorder="1" applyAlignment="1" applyProtection="1">
      <alignment horizontal="left" vertical="center"/>
      <protection hidden="1" locked="0"/>
    </xf>
    <xf numFmtId="0" fontId="0" fillId="40" borderId="0" xfId="0" applyFill="1" applyBorder="1" applyAlignment="1" applyProtection="1">
      <alignment horizontal="center" vertical="center"/>
      <protection hidden="1" locked="0"/>
    </xf>
    <xf numFmtId="0" fontId="5" fillId="0" borderId="18" xfId="0" applyFont="1" applyBorder="1" applyAlignment="1" applyProtection="1">
      <alignment vertical="center" wrapText="1"/>
      <protection hidden="1" locked="0"/>
    </xf>
    <xf numFmtId="0" fontId="5" fillId="33" borderId="0" xfId="0" applyFont="1" applyFill="1" applyBorder="1" applyAlignment="1" applyProtection="1">
      <alignment/>
      <protection hidden="1" locked="0"/>
    </xf>
    <xf numFmtId="0" fontId="8" fillId="0" borderId="22" xfId="0" applyFont="1" applyBorder="1" applyAlignment="1" applyProtection="1">
      <alignment vertical="center" wrapText="1"/>
      <protection hidden="1" locked="0"/>
    </xf>
    <xf numFmtId="8" fontId="5" fillId="0" borderId="0" xfId="0" applyNumberFormat="1" applyFont="1" applyAlignment="1" applyProtection="1">
      <alignment/>
      <protection hidden="1" locked="0"/>
    </xf>
    <xf numFmtId="0" fontId="11" fillId="0" borderId="27" xfId="0" applyFont="1" applyBorder="1" applyAlignment="1" applyProtection="1">
      <alignment/>
      <protection hidden="1" locked="0"/>
    </xf>
    <xf numFmtId="0" fontId="5" fillId="0" borderId="16" xfId="0" applyFont="1" applyBorder="1" applyAlignment="1" applyProtection="1">
      <alignment/>
      <protection hidden="1" locked="0"/>
    </xf>
    <xf numFmtId="0" fontId="61" fillId="0" borderId="16" xfId="0" applyFont="1" applyBorder="1" applyAlignment="1" applyProtection="1">
      <alignment/>
      <protection hidden="1" locked="0"/>
    </xf>
    <xf numFmtId="0" fontId="2" fillId="0" borderId="16" xfId="0" applyFont="1" applyBorder="1" applyAlignment="1" applyProtection="1">
      <alignment/>
      <protection hidden="1" locked="0"/>
    </xf>
    <xf numFmtId="0" fontId="61" fillId="0" borderId="16" xfId="0" applyFont="1" applyBorder="1" applyAlignment="1" applyProtection="1">
      <alignment horizontal="right"/>
      <protection hidden="1" locked="0"/>
    </xf>
    <xf numFmtId="0" fontId="5" fillId="0" borderId="16" xfId="0" applyFont="1" applyBorder="1" applyAlignment="1" applyProtection="1">
      <alignment/>
      <protection hidden="1" locked="0"/>
    </xf>
    <xf numFmtId="0" fontId="4" fillId="0" borderId="16" xfId="0" applyFont="1" applyBorder="1" applyAlignment="1" applyProtection="1">
      <alignment horizontal="right"/>
      <protection hidden="1" locked="0"/>
    </xf>
    <xf numFmtId="0" fontId="5" fillId="0" borderId="28" xfId="0" applyFont="1" applyBorder="1" applyAlignment="1" applyProtection="1">
      <alignment/>
      <protection hidden="1" locked="0"/>
    </xf>
    <xf numFmtId="3" fontId="116" fillId="0" borderId="29" xfId="0" applyNumberFormat="1" applyFont="1" applyFill="1" applyBorder="1" applyAlignment="1" applyProtection="1">
      <alignment horizontal="left"/>
      <protection hidden="1" locked="0"/>
    </xf>
    <xf numFmtId="3" fontId="5" fillId="0" borderId="0" xfId="0" applyNumberFormat="1" applyFont="1" applyBorder="1" applyAlignment="1" applyProtection="1">
      <alignment/>
      <protection hidden="1" locked="0"/>
    </xf>
    <xf numFmtId="0" fontId="5" fillId="0" borderId="30" xfId="0" applyFont="1" applyBorder="1" applyAlignment="1" applyProtection="1">
      <alignment/>
      <protection hidden="1" locked="0"/>
    </xf>
    <xf numFmtId="0" fontId="113" fillId="41" borderId="29" xfId="0" applyFont="1" applyFill="1" applyBorder="1" applyAlignment="1" applyProtection="1">
      <alignment horizontal="left"/>
      <protection hidden="1" locked="0"/>
    </xf>
    <xf numFmtId="0" fontId="4" fillId="0" borderId="0" xfId="0" applyFont="1" applyBorder="1" applyAlignment="1" applyProtection="1">
      <alignment/>
      <protection hidden="1" locked="0"/>
    </xf>
    <xf numFmtId="0" fontId="113" fillId="42" borderId="29" xfId="0" applyFont="1" applyFill="1" applyBorder="1" applyAlignment="1" applyProtection="1">
      <alignment horizontal="left"/>
      <protection hidden="1" locked="0"/>
    </xf>
    <xf numFmtId="3" fontId="14" fillId="0" borderId="0" xfId="0" applyNumberFormat="1" applyFont="1" applyBorder="1" applyAlignment="1" applyProtection="1">
      <alignment/>
      <protection hidden="1" locked="0"/>
    </xf>
    <xf numFmtId="0" fontId="12" fillId="43" borderId="29" xfId="0" applyFont="1" applyFill="1" applyBorder="1" applyAlignment="1" applyProtection="1">
      <alignment horizontal="left"/>
      <protection hidden="1" locked="0"/>
    </xf>
    <xf numFmtId="0" fontId="12" fillId="44" borderId="29" xfId="0" applyFont="1" applyFill="1" applyBorder="1" applyAlignment="1" applyProtection="1">
      <alignment horizontal="left"/>
      <protection hidden="1" locked="0"/>
    </xf>
    <xf numFmtId="0" fontId="12" fillId="45" borderId="29" xfId="0" applyFont="1" applyFill="1" applyBorder="1" applyAlignment="1" applyProtection="1">
      <alignment horizontal="left"/>
      <protection hidden="1" locked="0"/>
    </xf>
    <xf numFmtId="0" fontId="12" fillId="46" borderId="29" xfId="0" applyFont="1" applyFill="1" applyBorder="1" applyAlignment="1" applyProtection="1">
      <alignment horizontal="left"/>
      <protection hidden="1" locked="0"/>
    </xf>
    <xf numFmtId="0" fontId="12" fillId="47" borderId="29" xfId="0" applyFont="1" applyFill="1" applyBorder="1" applyAlignment="1" applyProtection="1">
      <alignment horizontal="left"/>
      <protection hidden="1" locked="0"/>
    </xf>
    <xf numFmtId="0" fontId="5" fillId="0" borderId="31" xfId="0" applyFont="1" applyBorder="1" applyAlignment="1" applyProtection="1">
      <alignment/>
      <protection hidden="1" locked="0"/>
    </xf>
    <xf numFmtId="3" fontId="5" fillId="0" borderId="17" xfId="0" applyNumberFormat="1" applyFont="1" applyBorder="1" applyAlignment="1" applyProtection="1">
      <alignment/>
      <protection hidden="1" locked="0"/>
    </xf>
    <xf numFmtId="0" fontId="5" fillId="0" borderId="17" xfId="0" applyFont="1" applyBorder="1" applyAlignment="1" applyProtection="1">
      <alignment/>
      <protection hidden="1" locked="0"/>
    </xf>
    <xf numFmtId="0" fontId="4" fillId="0" borderId="17" xfId="0" applyFont="1" applyBorder="1" applyAlignment="1" applyProtection="1">
      <alignment/>
      <protection hidden="1" locked="0"/>
    </xf>
    <xf numFmtId="1" fontId="4" fillId="0" borderId="17" xfId="0" applyNumberFormat="1" applyFont="1" applyBorder="1" applyAlignment="1" applyProtection="1">
      <alignment horizontal="right"/>
      <protection hidden="1" locked="0"/>
    </xf>
    <xf numFmtId="0" fontId="5" fillId="0" borderId="32" xfId="0" applyFont="1" applyBorder="1" applyAlignment="1" applyProtection="1">
      <alignment/>
      <protection hidden="1" locked="0"/>
    </xf>
    <xf numFmtId="0" fontId="5" fillId="0" borderId="0" xfId="0" applyFont="1" applyBorder="1" applyAlignment="1" applyProtection="1">
      <alignment/>
      <protection hidden="1" locked="0"/>
    </xf>
    <xf numFmtId="0" fontId="0" fillId="0" borderId="0" xfId="0" applyAlignment="1" applyProtection="1">
      <alignment/>
      <protection hidden="1" locked="0"/>
    </xf>
    <xf numFmtId="0" fontId="117" fillId="0" borderId="33" xfId="0" applyFont="1" applyBorder="1" applyAlignment="1" applyProtection="1">
      <alignment/>
      <protection hidden="1" locked="0"/>
    </xf>
    <xf numFmtId="0" fontId="117" fillId="0" borderId="21" xfId="0" applyFont="1" applyBorder="1" applyAlignment="1" applyProtection="1">
      <alignment/>
      <protection hidden="1" locked="0"/>
    </xf>
    <xf numFmtId="0" fontId="117" fillId="0" borderId="34" xfId="0" applyFont="1" applyBorder="1" applyAlignment="1" applyProtection="1">
      <alignment/>
      <protection hidden="1" locked="0"/>
    </xf>
    <xf numFmtId="0" fontId="2" fillId="0" borderId="33" xfId="0" applyFont="1" applyBorder="1" applyAlignment="1" applyProtection="1">
      <alignment/>
      <protection hidden="1" locked="0"/>
    </xf>
    <xf numFmtId="0" fontId="2" fillId="0" borderId="21" xfId="0" applyFont="1" applyBorder="1" applyAlignment="1" applyProtection="1">
      <alignment horizontal="center"/>
      <protection hidden="1" locked="0"/>
    </xf>
    <xf numFmtId="0" fontId="94" fillId="0" borderId="21" xfId="0" applyFont="1" applyBorder="1" applyAlignment="1" applyProtection="1">
      <alignment horizontal="center"/>
      <protection hidden="1" locked="0"/>
    </xf>
    <xf numFmtId="0" fontId="113" fillId="48" borderId="0" xfId="0" applyFont="1" applyFill="1" applyBorder="1" applyAlignment="1" applyProtection="1">
      <alignment horizontal="left" vertical="center" wrapText="1"/>
      <protection hidden="1" locked="0"/>
    </xf>
    <xf numFmtId="0" fontId="94" fillId="48" borderId="33" xfId="0" applyFont="1" applyFill="1" applyBorder="1" applyAlignment="1" applyProtection="1">
      <alignment/>
      <protection hidden="1" locked="0"/>
    </xf>
    <xf numFmtId="0" fontId="5" fillId="0" borderId="33" xfId="0" applyFont="1" applyBorder="1" applyAlignment="1" applyProtection="1">
      <alignment/>
      <protection hidden="1" locked="0"/>
    </xf>
    <xf numFmtId="0" fontId="5" fillId="0" borderId="21" xfId="0" applyFont="1" applyBorder="1" applyAlignment="1" applyProtection="1">
      <alignment horizontal="center"/>
      <protection hidden="1" locked="0"/>
    </xf>
    <xf numFmtId="0" fontId="91" fillId="0" borderId="21" xfId="0" applyFont="1" applyBorder="1" applyAlignment="1" applyProtection="1">
      <alignment horizontal="center"/>
      <protection hidden="1" locked="0"/>
    </xf>
    <xf numFmtId="0" fontId="118" fillId="0" borderId="27" xfId="0" applyFont="1" applyBorder="1" applyAlignment="1" applyProtection="1">
      <alignment horizontal="right"/>
      <protection hidden="1" locked="0"/>
    </xf>
    <xf numFmtId="0" fontId="0" fillId="0" borderId="34" xfId="0" applyBorder="1" applyAlignment="1" applyProtection="1">
      <alignment horizontal="center"/>
      <protection hidden="1" locked="0"/>
    </xf>
    <xf numFmtId="0" fontId="0" fillId="0" borderId="35" xfId="0" applyBorder="1" applyAlignment="1" applyProtection="1">
      <alignment horizontal="center"/>
      <protection hidden="1" locked="0"/>
    </xf>
    <xf numFmtId="0" fontId="0" fillId="0" borderId="33" xfId="0" applyBorder="1" applyAlignment="1" applyProtection="1">
      <alignment/>
      <protection hidden="1" locked="0"/>
    </xf>
    <xf numFmtId="0" fontId="0" fillId="0" borderId="34" xfId="0" applyBorder="1" applyAlignment="1" applyProtection="1">
      <alignment/>
      <protection hidden="1" locked="0"/>
    </xf>
    <xf numFmtId="169" fontId="0" fillId="30" borderId="34" xfId="0" applyNumberFormat="1" applyFill="1" applyBorder="1" applyAlignment="1" applyProtection="1">
      <alignment horizontal="center"/>
      <protection hidden="1" locked="0"/>
    </xf>
    <xf numFmtId="169" fontId="0" fillId="30" borderId="35" xfId="0" applyNumberFormat="1" applyFill="1" applyBorder="1" applyAlignment="1" applyProtection="1">
      <alignment horizontal="center"/>
      <protection hidden="1" locked="0"/>
    </xf>
    <xf numFmtId="0" fontId="0" fillId="48" borderId="27" xfId="0" applyFill="1" applyBorder="1" applyAlignment="1" applyProtection="1">
      <alignment/>
      <protection hidden="1" locked="0"/>
    </xf>
    <xf numFmtId="0" fontId="0" fillId="0" borderId="35" xfId="0" applyBorder="1" applyAlignment="1" applyProtection="1">
      <alignment/>
      <protection hidden="1" locked="0"/>
    </xf>
    <xf numFmtId="169" fontId="0" fillId="0" borderId="35" xfId="0" applyNumberFormat="1" applyBorder="1" applyAlignment="1" applyProtection="1">
      <alignment horizontal="center"/>
      <protection hidden="1" locked="0"/>
    </xf>
    <xf numFmtId="0" fontId="0" fillId="0" borderId="0" xfId="0" applyFill="1" applyAlignment="1" applyProtection="1">
      <alignment/>
      <protection hidden="1" locked="0"/>
    </xf>
    <xf numFmtId="0" fontId="0" fillId="0" borderId="0" xfId="0" applyBorder="1" applyAlignment="1" applyProtection="1">
      <alignment/>
      <protection hidden="1" locked="0"/>
    </xf>
    <xf numFmtId="0" fontId="94" fillId="48" borderId="0" xfId="0" applyFont="1" applyFill="1" applyBorder="1" applyAlignment="1" applyProtection="1">
      <alignment horizontal="left"/>
      <protection hidden="1" locked="0"/>
    </xf>
    <xf numFmtId="0" fontId="2" fillId="0" borderId="27" xfId="0" applyFont="1" applyBorder="1" applyAlignment="1" applyProtection="1">
      <alignment/>
      <protection hidden="1" locked="0"/>
    </xf>
    <xf numFmtId="0" fontId="113" fillId="48" borderId="0" xfId="0" applyFont="1" applyFill="1" applyBorder="1" applyAlignment="1" applyProtection="1">
      <alignment horizontal="left"/>
      <protection hidden="1" locked="0"/>
    </xf>
    <xf numFmtId="0" fontId="94" fillId="48" borderId="0" xfId="0" applyFont="1" applyFill="1" applyBorder="1" applyAlignment="1" applyProtection="1">
      <alignment horizontal="center"/>
      <protection hidden="1" locked="0"/>
    </xf>
    <xf numFmtId="0" fontId="119" fillId="48" borderId="0" xfId="0" applyFont="1" applyFill="1" applyBorder="1" applyAlignment="1" applyProtection="1">
      <alignment horizontal="left"/>
      <protection hidden="1" locked="0"/>
    </xf>
    <xf numFmtId="0" fontId="91" fillId="0" borderId="0" xfId="0" applyFont="1" applyBorder="1" applyAlignment="1" applyProtection="1">
      <alignment/>
      <protection hidden="1" locked="0"/>
    </xf>
    <xf numFmtId="0" fontId="0" fillId="0" borderId="31" xfId="0" applyBorder="1" applyAlignment="1" applyProtection="1">
      <alignment/>
      <protection hidden="1" locked="0"/>
    </xf>
    <xf numFmtId="0" fontId="0" fillId="0" borderId="17" xfId="0" applyBorder="1" applyAlignment="1" applyProtection="1">
      <alignment/>
      <protection hidden="1" locked="0"/>
    </xf>
    <xf numFmtId="168" fontId="0" fillId="30" borderId="32" xfId="0" applyNumberFormat="1" applyFill="1" applyBorder="1" applyAlignment="1" applyProtection="1">
      <alignment horizontal="center"/>
      <protection hidden="1" locked="0"/>
    </xf>
    <xf numFmtId="168" fontId="0" fillId="0" borderId="32" xfId="0" applyNumberFormat="1" applyBorder="1" applyAlignment="1" applyProtection="1">
      <alignment horizontal="center"/>
      <protection hidden="1" locked="0"/>
    </xf>
    <xf numFmtId="168" fontId="0" fillId="0" borderId="36" xfId="0" applyNumberFormat="1" applyBorder="1" applyAlignment="1" applyProtection="1">
      <alignment horizontal="center"/>
      <protection hidden="1" locked="0"/>
    </xf>
    <xf numFmtId="168" fontId="0" fillId="30" borderId="34" xfId="0" applyNumberFormat="1" applyFill="1" applyBorder="1" applyAlignment="1" applyProtection="1">
      <alignment horizontal="center"/>
      <protection hidden="1" locked="0"/>
    </xf>
    <xf numFmtId="168" fontId="0" fillId="0" borderId="35" xfId="0" applyNumberFormat="1" applyBorder="1" applyAlignment="1" applyProtection="1">
      <alignment horizontal="center"/>
      <protection hidden="1" locked="0"/>
    </xf>
    <xf numFmtId="0" fontId="105" fillId="0" borderId="17" xfId="0" applyFont="1" applyBorder="1" applyAlignment="1" applyProtection="1">
      <alignment/>
      <protection hidden="1" locked="0"/>
    </xf>
    <xf numFmtId="0" fontId="0" fillId="0" borderId="29" xfId="0" applyFill="1" applyBorder="1" applyAlignment="1" applyProtection="1">
      <alignment/>
      <protection hidden="1" locked="0"/>
    </xf>
    <xf numFmtId="1" fontId="105" fillId="0" borderId="35" xfId="0" applyNumberFormat="1" applyFont="1" applyBorder="1" applyAlignment="1" applyProtection="1">
      <alignment horizontal="center"/>
      <protection hidden="1" locked="0"/>
    </xf>
    <xf numFmtId="0" fontId="105" fillId="0" borderId="37" xfId="0" applyFont="1" applyBorder="1" applyAlignment="1" applyProtection="1">
      <alignment/>
      <protection hidden="1" locked="0"/>
    </xf>
    <xf numFmtId="168" fontId="105" fillId="0" borderId="37" xfId="0" applyNumberFormat="1" applyFont="1" applyBorder="1" applyAlignment="1" applyProtection="1">
      <alignment horizontal="center"/>
      <protection hidden="1" locked="0"/>
    </xf>
    <xf numFmtId="0" fontId="113" fillId="48" borderId="0" xfId="0" applyFont="1" applyFill="1" applyBorder="1" applyAlignment="1" applyProtection="1">
      <alignment horizontal="right"/>
      <protection hidden="1" locked="0"/>
    </xf>
    <xf numFmtId="0" fontId="91" fillId="48" borderId="0" xfId="0" applyFont="1" applyFill="1" applyBorder="1" applyAlignment="1" applyProtection="1">
      <alignment/>
      <protection hidden="1" locked="0"/>
    </xf>
    <xf numFmtId="168" fontId="113" fillId="48" borderId="0" xfId="0" applyNumberFormat="1" applyFont="1" applyFill="1" applyBorder="1" applyAlignment="1" applyProtection="1">
      <alignment horizontal="center"/>
      <protection hidden="1" locked="0"/>
    </xf>
    <xf numFmtId="0" fontId="2" fillId="0" borderId="21" xfId="0" applyFont="1" applyBorder="1" applyAlignment="1" applyProtection="1">
      <alignment/>
      <protection hidden="1" locked="0"/>
    </xf>
    <xf numFmtId="0" fontId="2" fillId="0" borderId="34" xfId="0" applyFont="1" applyBorder="1" applyAlignment="1" applyProtection="1">
      <alignment/>
      <protection hidden="1" locked="0"/>
    </xf>
    <xf numFmtId="0" fontId="99" fillId="0" borderId="0" xfId="0" applyFont="1" applyBorder="1" applyAlignment="1" applyProtection="1">
      <alignment/>
      <protection hidden="1" locked="0"/>
    </xf>
    <xf numFmtId="0" fontId="118" fillId="30" borderId="35" xfId="0" applyFont="1" applyFill="1" applyBorder="1" applyAlignment="1" applyProtection="1">
      <alignment horizontal="left"/>
      <protection hidden="1" locked="0"/>
    </xf>
    <xf numFmtId="0" fontId="99" fillId="0" borderId="0" xfId="0" applyFont="1" applyAlignment="1" applyProtection="1">
      <alignment/>
      <protection hidden="1" locked="0"/>
    </xf>
    <xf numFmtId="0" fontId="120" fillId="0" borderId="0" xfId="0" applyFont="1" applyFill="1" applyBorder="1" applyAlignment="1">
      <alignment horizontal="center" vertical="center" wrapText="1"/>
    </xf>
    <xf numFmtId="0" fontId="91" fillId="0" borderId="0" xfId="0" applyFont="1" applyFill="1" applyBorder="1" applyAlignment="1">
      <alignment horizontal="center" vertical="center" wrapText="1"/>
    </xf>
    <xf numFmtId="0" fontId="113" fillId="0" borderId="0" xfId="0" applyFont="1" applyFill="1" applyBorder="1" applyAlignment="1">
      <alignment horizontal="center"/>
    </xf>
    <xf numFmtId="0" fontId="0" fillId="0" borderId="21" xfId="0" applyFill="1" applyBorder="1" applyAlignment="1" applyProtection="1">
      <alignment vertical="center" wrapText="1"/>
      <protection hidden="1" locked="0"/>
    </xf>
    <xf numFmtId="0" fontId="12" fillId="48" borderId="0" xfId="0" applyFont="1" applyFill="1" applyBorder="1" applyAlignment="1" applyProtection="1">
      <alignment horizontal="left" vertical="center" wrapText="1"/>
      <protection hidden="1" locked="0"/>
    </xf>
    <xf numFmtId="3" fontId="5" fillId="0" borderId="13" xfId="0" applyNumberFormat="1" applyFont="1" applyFill="1" applyBorder="1" applyAlignment="1" applyProtection="1">
      <alignment horizontal="center"/>
      <protection locked="0"/>
    </xf>
    <xf numFmtId="0" fontId="121" fillId="0" borderId="0" xfId="0" applyFont="1" applyFill="1" applyBorder="1" applyAlignment="1">
      <alignment horizontal="center" vertical="center"/>
    </xf>
    <xf numFmtId="0" fontId="91" fillId="0" borderId="0" xfId="0" applyFont="1" applyFill="1" applyBorder="1" applyAlignment="1" applyProtection="1">
      <alignment horizontal="center"/>
      <protection hidden="1" locked="0"/>
    </xf>
    <xf numFmtId="0" fontId="94" fillId="0" borderId="0" xfId="0" applyFont="1" applyFill="1" applyBorder="1" applyAlignment="1" applyProtection="1">
      <alignment horizontal="center"/>
      <protection hidden="1" locked="0"/>
    </xf>
    <xf numFmtId="0" fontId="91" fillId="0" borderId="0" xfId="0" applyFont="1" applyFill="1" applyBorder="1" applyAlignment="1">
      <alignment horizontal="center"/>
    </xf>
    <xf numFmtId="0" fontId="5" fillId="0" borderId="0" xfId="0" applyFont="1" applyAlignment="1" applyProtection="1">
      <alignment/>
      <protection hidden="1" locked="0"/>
    </xf>
    <xf numFmtId="0" fontId="120" fillId="48" borderId="29" xfId="0" applyFont="1" applyFill="1" applyBorder="1" applyAlignment="1" applyProtection="1">
      <alignment/>
      <protection hidden="1" locked="0"/>
    </xf>
    <xf numFmtId="0" fontId="94" fillId="0" borderId="0" xfId="0" applyFont="1" applyAlignment="1" applyProtection="1">
      <alignment horizontal="right"/>
      <protection hidden="1" locked="0"/>
    </xf>
    <xf numFmtId="0" fontId="91" fillId="0" borderId="0" xfId="0" applyFont="1" applyAlignment="1" applyProtection="1">
      <alignment/>
      <protection hidden="1" locked="0"/>
    </xf>
    <xf numFmtId="3" fontId="91" fillId="0" borderId="0" xfId="0" applyNumberFormat="1" applyFont="1" applyFill="1" applyAlignment="1" applyProtection="1">
      <alignment/>
      <protection hidden="1" locked="0"/>
    </xf>
    <xf numFmtId="0" fontId="91" fillId="0" borderId="0" xfId="0" applyFont="1" applyFill="1" applyBorder="1" applyAlignment="1" applyProtection="1">
      <alignment/>
      <protection hidden="1" locked="0"/>
    </xf>
    <xf numFmtId="0" fontId="91" fillId="0" borderId="0" xfId="0" applyFont="1" applyFill="1" applyBorder="1" applyAlignment="1" applyProtection="1">
      <alignment horizontal="center"/>
      <protection hidden="1" locked="0"/>
    </xf>
    <xf numFmtId="0" fontId="113" fillId="0" borderId="0" xfId="0" applyFont="1" applyBorder="1" applyAlignment="1" applyProtection="1">
      <alignment horizontal="right"/>
      <protection hidden="1" locked="0"/>
    </xf>
    <xf numFmtId="0" fontId="113" fillId="0" borderId="0" xfId="0" applyFont="1" applyBorder="1" applyAlignment="1" applyProtection="1">
      <alignment/>
      <protection hidden="1" locked="0"/>
    </xf>
    <xf numFmtId="0" fontId="113" fillId="0" borderId="0" xfId="0" applyFont="1" applyFill="1" applyAlignment="1" applyProtection="1">
      <alignment/>
      <protection hidden="1" locked="0"/>
    </xf>
    <xf numFmtId="0" fontId="91" fillId="0" borderId="0" xfId="0" applyFont="1" applyFill="1" applyAlignment="1" applyProtection="1">
      <alignment/>
      <protection hidden="1" locked="0"/>
    </xf>
    <xf numFmtId="0" fontId="94" fillId="0" borderId="0" xfId="0" applyFont="1" applyBorder="1" applyAlignment="1" applyProtection="1">
      <alignment horizontal="right"/>
      <protection hidden="1" locked="0"/>
    </xf>
    <xf numFmtId="0" fontId="94" fillId="0" borderId="0" xfId="0" applyFont="1" applyBorder="1" applyAlignment="1" applyProtection="1">
      <alignment/>
      <protection hidden="1" locked="0"/>
    </xf>
    <xf numFmtId="165" fontId="122" fillId="0" borderId="0" xfId="0" applyNumberFormat="1" applyFont="1" applyAlignment="1" applyProtection="1">
      <alignment/>
      <protection hidden="1" locked="0"/>
    </xf>
    <xf numFmtId="0" fontId="94" fillId="0" borderId="0" xfId="0" applyFont="1" applyFill="1" applyBorder="1" applyAlignment="1" applyProtection="1">
      <alignment/>
      <protection hidden="1" locked="0"/>
    </xf>
    <xf numFmtId="4" fontId="91" fillId="0" borderId="0" xfId="0" applyNumberFormat="1" applyFont="1" applyFill="1" applyBorder="1" applyAlignment="1" applyProtection="1">
      <alignment horizontal="left"/>
      <protection hidden="1" locked="0"/>
    </xf>
    <xf numFmtId="165" fontId="91" fillId="0" borderId="0" xfId="0" applyNumberFormat="1" applyFont="1" applyFill="1" applyBorder="1" applyAlignment="1" applyProtection="1">
      <alignment horizontal="right"/>
      <protection hidden="1" locked="0"/>
    </xf>
    <xf numFmtId="165" fontId="91" fillId="0" borderId="0" xfId="0" applyNumberFormat="1" applyFont="1" applyFill="1" applyBorder="1" applyAlignment="1" applyProtection="1">
      <alignment horizontal="center"/>
      <protection hidden="1" locked="0"/>
    </xf>
    <xf numFmtId="0" fontId="91" fillId="0" borderId="0" xfId="0" applyFont="1" applyFill="1" applyBorder="1" applyAlignment="1" applyProtection="1">
      <alignment horizontal="right"/>
      <protection hidden="1" locked="0"/>
    </xf>
    <xf numFmtId="0" fontId="122" fillId="0" borderId="0" xfId="0" applyFont="1" applyAlignment="1" applyProtection="1">
      <alignment/>
      <protection hidden="1" locked="0"/>
    </xf>
    <xf numFmtId="3" fontId="91" fillId="0" borderId="0" xfId="0" applyNumberFormat="1" applyFont="1" applyFill="1" applyBorder="1" applyAlignment="1" applyProtection="1">
      <alignment horizontal="center"/>
      <protection hidden="1" locked="0"/>
    </xf>
    <xf numFmtId="164" fontId="91" fillId="0" borderId="0" xfId="0" applyNumberFormat="1" applyFont="1" applyFill="1" applyBorder="1" applyAlignment="1" applyProtection="1">
      <alignment horizontal="center"/>
      <protection hidden="1" locked="0"/>
    </xf>
    <xf numFmtId="165" fontId="123" fillId="0" borderId="0" xfId="0" applyNumberFormat="1" applyFont="1" applyFill="1" applyBorder="1" applyAlignment="1" applyProtection="1">
      <alignment horizontal="right"/>
      <protection hidden="1" locked="0"/>
    </xf>
    <xf numFmtId="1" fontId="91" fillId="0" borderId="0" xfId="0" applyNumberFormat="1" applyFont="1" applyFill="1" applyBorder="1" applyAlignment="1" applyProtection="1">
      <alignment horizontal="center"/>
      <protection hidden="1" locked="0"/>
    </xf>
    <xf numFmtId="0" fontId="91" fillId="0" borderId="0" xfId="0" applyFont="1" applyBorder="1" applyAlignment="1" applyProtection="1">
      <alignment horizontal="right"/>
      <protection hidden="1" locked="0"/>
    </xf>
    <xf numFmtId="165" fontId="94" fillId="0" borderId="0" xfId="0" applyNumberFormat="1" applyFont="1" applyFill="1" applyBorder="1" applyAlignment="1" applyProtection="1">
      <alignment horizontal="right"/>
      <protection hidden="1" locked="0"/>
    </xf>
    <xf numFmtId="0" fontId="94" fillId="0" borderId="0" xfId="0" applyFont="1" applyFill="1" applyAlignment="1" applyProtection="1">
      <alignment/>
      <protection hidden="1" locked="0"/>
    </xf>
    <xf numFmtId="166" fontId="91" fillId="0" borderId="0" xfId="0" applyNumberFormat="1" applyFont="1" applyFill="1" applyBorder="1" applyAlignment="1" applyProtection="1">
      <alignment horizontal="right"/>
      <protection hidden="1" locked="0"/>
    </xf>
    <xf numFmtId="0" fontId="113" fillId="0" borderId="0" xfId="0" applyFont="1" applyFill="1" applyBorder="1" applyAlignment="1" applyProtection="1">
      <alignment horizontal="right"/>
      <protection hidden="1" locked="0"/>
    </xf>
    <xf numFmtId="0" fontId="122" fillId="0" borderId="0" xfId="0" applyFont="1" applyFill="1" applyBorder="1" applyAlignment="1" applyProtection="1">
      <alignment/>
      <protection hidden="1" locked="0"/>
    </xf>
    <xf numFmtId="0" fontId="91" fillId="0" borderId="0" xfId="0" applyFont="1" applyFill="1" applyBorder="1" applyAlignment="1" applyProtection="1">
      <alignment horizontal="left"/>
      <protection hidden="1" locked="0"/>
    </xf>
    <xf numFmtId="3" fontId="91" fillId="0" borderId="0" xfId="0" applyNumberFormat="1" applyFont="1" applyFill="1" applyBorder="1" applyAlignment="1" applyProtection="1">
      <alignment/>
      <protection hidden="1" locked="0"/>
    </xf>
    <xf numFmtId="0" fontId="91" fillId="0" borderId="0" xfId="0" applyFont="1" applyFill="1" applyBorder="1" applyAlignment="1" applyProtection="1">
      <alignment/>
      <protection hidden="1" locked="0"/>
    </xf>
    <xf numFmtId="0" fontId="91" fillId="0" borderId="0" xfId="0" applyFont="1" applyFill="1" applyBorder="1" applyAlignment="1" applyProtection="1">
      <alignment/>
      <protection hidden="1" locked="0"/>
    </xf>
    <xf numFmtId="2" fontId="91" fillId="0" borderId="0" xfId="0" applyNumberFormat="1" applyFont="1" applyFill="1" applyBorder="1" applyAlignment="1" applyProtection="1">
      <alignment horizontal="center"/>
      <protection hidden="1" locked="0"/>
    </xf>
    <xf numFmtId="4" fontId="91" fillId="0" borderId="0" xfId="0" applyNumberFormat="1" applyFont="1" applyFill="1" applyBorder="1" applyAlignment="1" applyProtection="1">
      <alignment horizontal="left"/>
      <protection hidden="1" locked="0"/>
    </xf>
    <xf numFmtId="1" fontId="91" fillId="0" borderId="0" xfId="0" applyNumberFormat="1" applyFont="1" applyFill="1" applyBorder="1" applyAlignment="1" applyProtection="1">
      <alignment horizontal="left"/>
      <protection hidden="1" locked="0"/>
    </xf>
    <xf numFmtId="49" fontId="91" fillId="0" borderId="0" xfId="0" applyNumberFormat="1" applyFont="1" applyFill="1" applyBorder="1" applyAlignment="1" applyProtection="1">
      <alignment horizontal="left"/>
      <protection hidden="1" locked="0"/>
    </xf>
    <xf numFmtId="164" fontId="91" fillId="0" borderId="0" xfId="0" applyNumberFormat="1" applyFont="1" applyFill="1" applyBorder="1" applyAlignment="1" applyProtection="1">
      <alignment horizontal="left"/>
      <protection hidden="1" locked="0"/>
    </xf>
    <xf numFmtId="0" fontId="91" fillId="0" borderId="0" xfId="0" applyFont="1" applyFill="1" applyBorder="1" applyAlignment="1" applyProtection="1">
      <alignment horizontal="left"/>
      <protection hidden="1" locked="0"/>
    </xf>
    <xf numFmtId="1" fontId="91" fillId="0" borderId="0" xfId="0" applyNumberFormat="1" applyFont="1" applyFill="1" applyBorder="1" applyAlignment="1" applyProtection="1">
      <alignment/>
      <protection hidden="1" locked="0"/>
    </xf>
    <xf numFmtId="4" fontId="94" fillId="0" borderId="0" xfId="0" applyNumberFormat="1" applyFont="1" applyFill="1" applyBorder="1" applyAlignment="1" applyProtection="1">
      <alignment horizontal="left"/>
      <protection hidden="1" locked="0"/>
    </xf>
    <xf numFmtId="167" fontId="91" fillId="0" borderId="0" xfId="0" applyNumberFormat="1" applyFont="1" applyFill="1" applyBorder="1" applyAlignment="1" applyProtection="1">
      <alignment horizontal="center"/>
      <protection hidden="1" locked="0"/>
    </xf>
    <xf numFmtId="49" fontId="91" fillId="0" borderId="0" xfId="0" applyNumberFormat="1" applyFont="1" applyFill="1" applyBorder="1" applyAlignment="1" applyProtection="1">
      <alignment horizontal="center"/>
      <protection hidden="1" locked="0"/>
    </xf>
    <xf numFmtId="2" fontId="91" fillId="0" borderId="0" xfId="0" applyNumberFormat="1" applyFont="1" applyFill="1" applyBorder="1" applyAlignment="1" applyProtection="1">
      <alignment horizontal="center"/>
      <protection hidden="1" locked="0"/>
    </xf>
    <xf numFmtId="4" fontId="91" fillId="0" borderId="0" xfId="0" applyNumberFormat="1" applyFont="1" applyFill="1" applyBorder="1" applyAlignment="1" applyProtection="1">
      <alignment horizontal="center"/>
      <protection hidden="1" locked="0"/>
    </xf>
    <xf numFmtId="1" fontId="91" fillId="0" borderId="0" xfId="0" applyNumberFormat="1" applyFont="1" applyFill="1" applyBorder="1" applyAlignment="1" applyProtection="1">
      <alignment horizontal="center"/>
      <protection hidden="1" locked="0"/>
    </xf>
    <xf numFmtId="3" fontId="91" fillId="0" borderId="0" xfId="0" applyNumberFormat="1" applyFont="1" applyFill="1" applyBorder="1" applyAlignment="1" applyProtection="1">
      <alignment horizontal="center"/>
      <protection hidden="1" locked="0"/>
    </xf>
    <xf numFmtId="9" fontId="91" fillId="0" borderId="0" xfId="0" applyNumberFormat="1" applyFont="1" applyFill="1" applyBorder="1" applyAlignment="1" applyProtection="1">
      <alignment horizontal="center"/>
      <protection hidden="1" locked="0"/>
    </xf>
    <xf numFmtId="0" fontId="94" fillId="0" borderId="0" xfId="0" applyFont="1" applyFill="1" applyBorder="1" applyAlignment="1" applyProtection="1">
      <alignment horizontal="left"/>
      <protection hidden="1" locked="0"/>
    </xf>
    <xf numFmtId="0" fontId="94" fillId="0" borderId="0" xfId="0" applyFont="1" applyFill="1" applyBorder="1" applyAlignment="1" applyProtection="1">
      <alignment horizontal="center"/>
      <protection hidden="1" locked="0"/>
    </xf>
    <xf numFmtId="3" fontId="120" fillId="0" borderId="0" xfId="0" applyNumberFormat="1" applyFont="1" applyFill="1" applyBorder="1" applyAlignment="1" applyProtection="1">
      <alignment horizontal="center"/>
      <protection hidden="1" locked="0"/>
    </xf>
    <xf numFmtId="168" fontId="123" fillId="0" borderId="0" xfId="0" applyNumberFormat="1" applyFont="1" applyFill="1" applyBorder="1" applyAlignment="1" applyProtection="1">
      <alignment horizontal="center"/>
      <protection hidden="1" locked="0"/>
    </xf>
    <xf numFmtId="164" fontId="120" fillId="0" borderId="0" xfId="0" applyNumberFormat="1" applyFont="1" applyFill="1" applyBorder="1" applyAlignment="1" applyProtection="1">
      <alignment horizontal="center"/>
      <protection hidden="1" locked="0"/>
    </xf>
    <xf numFmtId="8" fontId="123" fillId="0" borderId="0" xfId="0" applyNumberFormat="1" applyFont="1" applyFill="1" applyBorder="1" applyAlignment="1" applyProtection="1">
      <alignment horizontal="center"/>
      <protection hidden="1" locked="0"/>
    </xf>
    <xf numFmtId="170" fontId="120" fillId="0" borderId="0" xfId="0" applyNumberFormat="1" applyFont="1" applyFill="1" applyBorder="1" applyAlignment="1" applyProtection="1">
      <alignment horizontal="center"/>
      <protection hidden="1" locked="0"/>
    </xf>
    <xf numFmtId="4" fontId="94" fillId="0" borderId="0" xfId="0" applyNumberFormat="1" applyFont="1" applyFill="1" applyBorder="1" applyAlignment="1" applyProtection="1">
      <alignment horizontal="left"/>
      <protection hidden="1" locked="0"/>
    </xf>
    <xf numFmtId="9" fontId="94" fillId="0" borderId="0" xfId="0" applyNumberFormat="1" applyFont="1" applyFill="1" applyBorder="1" applyAlignment="1" applyProtection="1">
      <alignment horizontal="left"/>
      <protection hidden="1" locked="0"/>
    </xf>
    <xf numFmtId="3" fontId="91" fillId="0" borderId="0" xfId="0" applyNumberFormat="1" applyFont="1" applyFill="1" applyBorder="1" applyAlignment="1" applyProtection="1">
      <alignment horizontal="left"/>
      <protection hidden="1" locked="0"/>
    </xf>
    <xf numFmtId="1" fontId="91" fillId="0" borderId="0" xfId="0" applyNumberFormat="1" applyFont="1" applyFill="1" applyBorder="1" applyAlignment="1" applyProtection="1">
      <alignment horizontal="left"/>
      <protection hidden="1" locked="0"/>
    </xf>
    <xf numFmtId="9" fontId="91" fillId="0" borderId="0" xfId="0" applyNumberFormat="1" applyFont="1" applyFill="1" applyBorder="1" applyAlignment="1" applyProtection="1">
      <alignment horizontal="left"/>
      <protection hidden="1" locked="0"/>
    </xf>
    <xf numFmtId="9" fontId="91" fillId="0" borderId="0" xfId="0" applyNumberFormat="1" applyFont="1" applyFill="1" applyBorder="1" applyAlignment="1" applyProtection="1">
      <alignment/>
      <protection hidden="1" locked="0"/>
    </xf>
    <xf numFmtId="165" fontId="91" fillId="0" borderId="0" xfId="0" applyNumberFormat="1" applyFont="1" applyFill="1" applyBorder="1" applyAlignment="1" applyProtection="1">
      <alignment horizontal="left"/>
      <protection hidden="1" locked="0"/>
    </xf>
    <xf numFmtId="9" fontId="120" fillId="0" borderId="0" xfId="0" applyNumberFormat="1" applyFont="1" applyFill="1" applyBorder="1" applyAlignment="1" applyProtection="1">
      <alignment horizontal="center"/>
      <protection hidden="1" locked="0"/>
    </xf>
    <xf numFmtId="0" fontId="91" fillId="0" borderId="0" xfId="0" applyFont="1" applyFill="1" applyAlignment="1" applyProtection="1">
      <alignment/>
      <protection hidden="1" locked="0"/>
    </xf>
    <xf numFmtId="165" fontId="91" fillId="0" borderId="0" xfId="0" applyNumberFormat="1" applyFont="1" applyFill="1" applyBorder="1" applyAlignment="1" applyProtection="1">
      <alignment/>
      <protection hidden="1" locked="0"/>
    </xf>
    <xf numFmtId="0" fontId="113" fillId="0" borderId="0" xfId="0" applyFont="1" applyFill="1" applyBorder="1" applyAlignment="1" applyProtection="1">
      <alignment vertical="center"/>
      <protection hidden="1" locked="0"/>
    </xf>
    <xf numFmtId="0" fontId="113" fillId="0" borderId="0" xfId="0" applyFont="1" applyFill="1" applyBorder="1" applyAlignment="1" applyProtection="1">
      <alignment vertical="center" wrapText="1"/>
      <protection hidden="1" locked="0"/>
    </xf>
    <xf numFmtId="169" fontId="91" fillId="0" borderId="0" xfId="0" applyNumberFormat="1" applyFont="1" applyFill="1" applyBorder="1" applyAlignment="1" applyProtection="1">
      <alignment horizontal="center"/>
      <protection hidden="1" locked="0"/>
    </xf>
    <xf numFmtId="0" fontId="122" fillId="0" borderId="0" xfId="0" applyFont="1" applyFill="1" applyBorder="1" applyAlignment="1" applyProtection="1">
      <alignment horizontal="right"/>
      <protection hidden="1" locked="0"/>
    </xf>
    <xf numFmtId="9" fontId="91" fillId="0" borderId="0" xfId="0" applyNumberFormat="1" applyFont="1" applyFill="1" applyBorder="1" applyAlignment="1" applyProtection="1">
      <alignment horizontal="center"/>
      <protection hidden="1" locked="0"/>
    </xf>
    <xf numFmtId="164" fontId="91" fillId="0" borderId="0" xfId="0" applyNumberFormat="1" applyFont="1" applyFill="1" applyBorder="1" applyAlignment="1" applyProtection="1">
      <alignment horizontal="center"/>
      <protection hidden="1" locked="0"/>
    </xf>
    <xf numFmtId="0" fontId="122" fillId="0" borderId="0" xfId="0" applyFont="1" applyFill="1" applyAlignment="1" applyProtection="1">
      <alignment/>
      <protection hidden="1" locked="0"/>
    </xf>
    <xf numFmtId="169" fontId="91" fillId="0" borderId="0" xfId="0" applyNumberFormat="1" applyFont="1" applyAlignment="1" applyProtection="1">
      <alignment/>
      <protection hidden="1" locked="0"/>
    </xf>
    <xf numFmtId="2" fontId="91" fillId="0" borderId="0" xfId="0" applyNumberFormat="1" applyFont="1" applyFill="1" applyBorder="1" applyAlignment="1" applyProtection="1">
      <alignment/>
      <protection hidden="1" locked="0"/>
    </xf>
    <xf numFmtId="169" fontId="91" fillId="0" borderId="0" xfId="0" applyNumberFormat="1" applyFont="1" applyFill="1" applyBorder="1" applyAlignment="1" applyProtection="1">
      <alignment/>
      <protection hidden="1" locked="0"/>
    </xf>
    <xf numFmtId="0" fontId="113" fillId="0" borderId="0" xfId="0" applyFont="1" applyFill="1" applyBorder="1" applyAlignment="1" applyProtection="1">
      <alignment horizontal="left" vertical="center" wrapText="1"/>
      <protection hidden="1" locked="0"/>
    </xf>
    <xf numFmtId="168" fontId="91" fillId="0" borderId="0" xfId="0" applyNumberFormat="1" applyFont="1" applyFill="1" applyBorder="1" applyAlignment="1" applyProtection="1">
      <alignment horizontal="center"/>
      <protection hidden="1" locked="0"/>
    </xf>
    <xf numFmtId="0" fontId="121" fillId="0" borderId="0" xfId="0" applyFont="1" applyFill="1" applyBorder="1" applyAlignment="1">
      <alignment horizontal="center" vertical="center"/>
    </xf>
    <xf numFmtId="0" fontId="91" fillId="0" borderId="0" xfId="0" applyFont="1" applyFill="1" applyBorder="1" applyAlignment="1">
      <alignment horizontal="center" vertical="center"/>
    </xf>
    <xf numFmtId="0" fontId="124" fillId="0" borderId="0" xfId="0" applyFont="1" applyFill="1" applyBorder="1" applyAlignment="1">
      <alignment horizontal="left" vertical="top" wrapText="1"/>
    </xf>
    <xf numFmtId="0" fontId="120" fillId="0" borderId="0" xfId="0" applyFont="1" applyFill="1" applyBorder="1" applyAlignment="1">
      <alignment/>
    </xf>
    <xf numFmtId="0" fontId="91" fillId="0" borderId="0" xfId="0" applyFont="1" applyFill="1" applyBorder="1" applyAlignment="1">
      <alignment horizontal="right"/>
    </xf>
    <xf numFmtId="169" fontId="91" fillId="0" borderId="0" xfId="0" applyNumberFormat="1" applyFont="1" applyFill="1" applyBorder="1" applyAlignment="1">
      <alignment horizontal="center"/>
    </xf>
    <xf numFmtId="169" fontId="94" fillId="0" borderId="0" xfId="0" applyNumberFormat="1" applyFont="1" applyFill="1" applyBorder="1" applyAlignment="1">
      <alignment horizontal="center"/>
    </xf>
    <xf numFmtId="169" fontId="91" fillId="0" borderId="0" xfId="0" applyNumberFormat="1" applyFont="1" applyFill="1" applyBorder="1" applyAlignment="1">
      <alignment/>
    </xf>
    <xf numFmtId="1" fontId="121" fillId="0" borderId="0" xfId="0" applyNumberFormat="1" applyFont="1" applyFill="1" applyBorder="1" applyAlignment="1">
      <alignment horizontal="right" vertical="center" wrapText="1"/>
    </xf>
    <xf numFmtId="0" fontId="94" fillId="0" borderId="0" xfId="0" applyFont="1" applyFill="1" applyBorder="1" applyAlignment="1">
      <alignment horizontal="center" vertical="center" wrapText="1"/>
    </xf>
    <xf numFmtId="0" fontId="94" fillId="0" borderId="0" xfId="0" applyFont="1" applyFill="1" applyBorder="1" applyAlignment="1">
      <alignment/>
    </xf>
    <xf numFmtId="0" fontId="94" fillId="0" borderId="0" xfId="0" applyFont="1" applyFill="1" applyBorder="1" applyAlignment="1">
      <alignment horizontal="right"/>
    </xf>
    <xf numFmtId="3" fontId="94" fillId="0" borderId="0" xfId="0" applyNumberFormat="1" applyFont="1" applyFill="1" applyBorder="1" applyAlignment="1">
      <alignment horizontal="right"/>
    </xf>
    <xf numFmtId="3" fontId="94" fillId="0" borderId="0" xfId="0" applyNumberFormat="1" applyFont="1" applyFill="1" applyBorder="1" applyAlignment="1">
      <alignment/>
    </xf>
    <xf numFmtId="0" fontId="94" fillId="0" borderId="0" xfId="0" applyFont="1" applyFill="1" applyBorder="1" applyAlignment="1">
      <alignment/>
    </xf>
    <xf numFmtId="0" fontId="91" fillId="0" borderId="0" xfId="0" applyFont="1" applyFill="1" applyBorder="1" applyAlignment="1">
      <alignment wrapText="1"/>
    </xf>
    <xf numFmtId="0" fontId="120" fillId="0" borderId="0" xfId="0" applyFont="1" applyFill="1" applyBorder="1" applyAlignment="1">
      <alignment horizontal="left"/>
    </xf>
    <xf numFmtId="168" fontId="91" fillId="0" borderId="0" xfId="0" applyNumberFormat="1" applyFont="1" applyFill="1" applyBorder="1" applyAlignment="1">
      <alignment horizontal="center" vertical="center"/>
    </xf>
    <xf numFmtId="165" fontId="120" fillId="0" borderId="0" xfId="0" applyNumberFormat="1" applyFont="1" applyFill="1" applyBorder="1" applyAlignment="1">
      <alignment horizontal="center" vertical="center"/>
    </xf>
    <xf numFmtId="3" fontId="91" fillId="0" borderId="0" xfId="0" applyNumberFormat="1" applyFont="1" applyFill="1" applyBorder="1" applyAlignment="1">
      <alignment horizontal="center"/>
    </xf>
    <xf numFmtId="0" fontId="110" fillId="0" borderId="0" xfId="0" applyFont="1" applyFill="1" applyBorder="1" applyAlignment="1">
      <alignment horizontal="left" vertical="center" wrapText="1"/>
    </xf>
    <xf numFmtId="0" fontId="91" fillId="0" borderId="0" xfId="0" applyFont="1" applyFill="1" applyBorder="1" applyAlignment="1">
      <alignment horizontal="left"/>
    </xf>
    <xf numFmtId="0" fontId="91" fillId="0" borderId="0" xfId="0" applyFont="1" applyFill="1" applyBorder="1" applyAlignment="1">
      <alignment vertical="top" wrapText="1"/>
    </xf>
    <xf numFmtId="0" fontId="94" fillId="0" borderId="0" xfId="0" applyFont="1" applyFill="1" applyBorder="1" applyAlignment="1">
      <alignment horizontal="right" vertical="center"/>
    </xf>
    <xf numFmtId="3" fontId="91" fillId="0" borderId="0" xfId="0" applyNumberFormat="1" applyFont="1" applyFill="1" applyBorder="1" applyAlignment="1">
      <alignment/>
    </xf>
    <xf numFmtId="0" fontId="91" fillId="0" borderId="0" xfId="0" applyFont="1" applyFill="1" applyBorder="1" applyAlignment="1">
      <alignment horizontal="left" vertical="center"/>
    </xf>
    <xf numFmtId="0" fontId="94" fillId="0" borderId="0" xfId="0" applyFont="1" applyFill="1" applyBorder="1" applyAlignment="1">
      <alignment horizontal="left" vertical="center"/>
    </xf>
    <xf numFmtId="0" fontId="91" fillId="0" borderId="0" xfId="0" applyFont="1" applyFill="1" applyBorder="1" applyAlignment="1">
      <alignment horizontal="left" vertical="top"/>
    </xf>
    <xf numFmtId="4" fontId="91" fillId="0" borderId="0" xfId="0" applyNumberFormat="1" applyFont="1" applyFill="1" applyBorder="1" applyAlignment="1">
      <alignment horizontal="center"/>
    </xf>
    <xf numFmtId="2" fontId="91" fillId="0" borderId="0" xfId="0" applyNumberFormat="1" applyFont="1" applyFill="1" applyBorder="1" applyAlignment="1">
      <alignment/>
    </xf>
    <xf numFmtId="0" fontId="94" fillId="0" borderId="0" xfId="0" applyFont="1" applyFill="1" applyBorder="1" applyAlignment="1">
      <alignment horizontal="left" vertical="top"/>
    </xf>
    <xf numFmtId="0" fontId="91" fillId="0" borderId="0" xfId="0" applyFont="1" applyFill="1" applyBorder="1" applyAlignment="1">
      <alignment vertical="top"/>
    </xf>
    <xf numFmtId="0" fontId="125" fillId="0" borderId="0" xfId="0" applyFont="1" applyFill="1" applyBorder="1" applyAlignment="1">
      <alignment horizontal="left" vertical="center"/>
    </xf>
    <xf numFmtId="0" fontId="126" fillId="0" borderId="0" xfId="0" applyFont="1" applyFill="1" applyBorder="1" applyAlignment="1">
      <alignment horizontal="left" vertical="center"/>
    </xf>
    <xf numFmtId="0" fontId="127" fillId="0" borderId="0" xfId="0" applyFont="1" applyFill="1" applyBorder="1" applyAlignment="1">
      <alignment horizontal="left" vertical="center"/>
    </xf>
    <xf numFmtId="3" fontId="91" fillId="0" borderId="0" xfId="0" applyNumberFormat="1" applyFont="1" applyFill="1" applyBorder="1" applyAlignment="1">
      <alignment horizontal="right"/>
    </xf>
    <xf numFmtId="8" fontId="91" fillId="0" borderId="0" xfId="0" applyNumberFormat="1" applyFont="1" applyFill="1" applyBorder="1" applyAlignment="1">
      <alignment/>
    </xf>
    <xf numFmtId="168" fontId="91" fillId="0" borderId="0" xfId="0" applyNumberFormat="1" applyFont="1" applyFill="1" applyBorder="1" applyAlignment="1">
      <alignment/>
    </xf>
    <xf numFmtId="0" fontId="113" fillId="0" borderId="0" xfId="0" applyFont="1" applyFill="1" applyBorder="1" applyAlignment="1">
      <alignment/>
    </xf>
    <xf numFmtId="0" fontId="128" fillId="0" borderId="0" xfId="0" applyFont="1" applyFill="1" applyBorder="1" applyAlignment="1">
      <alignment/>
    </xf>
    <xf numFmtId="0" fontId="128" fillId="0" borderId="0" xfId="0" applyFont="1" applyFill="1" applyBorder="1" applyAlignment="1">
      <alignment/>
    </xf>
    <xf numFmtId="0" fontId="128" fillId="0" borderId="0" xfId="0" applyFont="1" applyFill="1" applyBorder="1" applyAlignment="1">
      <alignment horizontal="center"/>
    </xf>
    <xf numFmtId="4" fontId="128" fillId="0" borderId="0" xfId="0" applyNumberFormat="1" applyFont="1" applyFill="1" applyBorder="1" applyAlignment="1">
      <alignment/>
    </xf>
    <xf numFmtId="3" fontId="128" fillId="0" borderId="0" xfId="0" applyNumberFormat="1" applyFont="1" applyFill="1" applyBorder="1" applyAlignment="1">
      <alignment/>
    </xf>
    <xf numFmtId="164" fontId="128" fillId="0" borderId="0" xfId="0" applyNumberFormat="1" applyFont="1" applyFill="1" applyBorder="1" applyAlignment="1">
      <alignment/>
    </xf>
    <xf numFmtId="9" fontId="128" fillId="0" borderId="0" xfId="0" applyNumberFormat="1" applyFont="1" applyFill="1" applyBorder="1" applyAlignment="1">
      <alignment/>
    </xf>
    <xf numFmtId="164" fontId="128" fillId="0" borderId="0" xfId="0" applyNumberFormat="1" applyFont="1" applyFill="1" applyBorder="1" applyAlignment="1">
      <alignment/>
    </xf>
    <xf numFmtId="164" fontId="91" fillId="0" borderId="0" xfId="0" applyNumberFormat="1" applyFont="1" applyFill="1" applyBorder="1" applyAlignment="1">
      <alignment/>
    </xf>
    <xf numFmtId="0" fontId="113" fillId="0" borderId="0" xfId="0" applyFont="1" applyFill="1" applyBorder="1" applyAlignment="1">
      <alignment horizontal="left"/>
    </xf>
    <xf numFmtId="0" fontId="91" fillId="0" borderId="0" xfId="0" applyFont="1" applyFill="1" applyBorder="1" applyAlignment="1">
      <alignment horizontal="right" wrapText="1"/>
    </xf>
    <xf numFmtId="0" fontId="91" fillId="0" borderId="0" xfId="0" applyFont="1" applyFill="1" applyBorder="1" applyAlignment="1">
      <alignment horizontal="center" wrapText="1"/>
    </xf>
    <xf numFmtId="0" fontId="127" fillId="0" borderId="0" xfId="0" applyFont="1" applyFill="1" applyBorder="1" applyAlignment="1">
      <alignment horizontal="center"/>
    </xf>
    <xf numFmtId="164" fontId="128" fillId="0" borderId="0" xfId="0" applyNumberFormat="1" applyFont="1" applyFill="1" applyBorder="1" applyAlignment="1">
      <alignment horizontal="center"/>
    </xf>
    <xf numFmtId="0" fontId="127" fillId="0" borderId="0" xfId="0" applyFont="1" applyFill="1" applyBorder="1" applyAlignment="1">
      <alignment horizontal="center" wrapText="1"/>
    </xf>
    <xf numFmtId="2" fontId="91" fillId="0" borderId="0" xfId="0" applyNumberFormat="1" applyFont="1" applyFill="1" applyBorder="1" applyAlignment="1">
      <alignment horizontal="center"/>
    </xf>
    <xf numFmtId="2" fontId="128" fillId="0" borderId="0" xfId="0" applyNumberFormat="1" applyFont="1" applyFill="1" applyBorder="1" applyAlignment="1">
      <alignment/>
    </xf>
    <xf numFmtId="43" fontId="91" fillId="0" borderId="0" xfId="0" applyNumberFormat="1" applyFont="1" applyFill="1" applyBorder="1" applyAlignment="1">
      <alignment/>
    </xf>
    <xf numFmtId="0" fontId="94" fillId="0" borderId="0" xfId="0" applyFont="1" applyFill="1" applyBorder="1" applyAlignment="1">
      <alignment horizontal="center"/>
    </xf>
    <xf numFmtId="0" fontId="129" fillId="0" borderId="0" xfId="0" applyFont="1" applyFill="1" applyBorder="1" applyAlignment="1">
      <alignment horizontal="left"/>
    </xf>
    <xf numFmtId="0" fontId="130" fillId="0" borderId="0" xfId="0" applyFont="1" applyFill="1" applyBorder="1" applyAlignment="1">
      <alignment/>
    </xf>
    <xf numFmtId="169" fontId="94" fillId="0" borderId="0" xfId="0" applyNumberFormat="1" applyFont="1" applyFill="1" applyBorder="1" applyAlignment="1">
      <alignment/>
    </xf>
    <xf numFmtId="1" fontId="91" fillId="0" borderId="0" xfId="0" applyNumberFormat="1" applyFont="1" applyFill="1" applyBorder="1" applyAlignment="1">
      <alignment/>
    </xf>
    <xf numFmtId="170" fontId="94" fillId="0" borderId="0" xfId="0" applyNumberFormat="1" applyFont="1" applyFill="1" applyBorder="1" applyAlignment="1">
      <alignment/>
    </xf>
    <xf numFmtId="0" fontId="131" fillId="0" borderId="0" xfId="0" applyFont="1" applyFill="1" applyBorder="1" applyAlignment="1">
      <alignment horizontal="right" vertical="center"/>
    </xf>
    <xf numFmtId="0" fontId="127" fillId="0" borderId="0" xfId="0" applyFont="1" applyFill="1" applyBorder="1" applyAlignment="1">
      <alignment horizontal="center" vertical="center"/>
    </xf>
    <xf numFmtId="0" fontId="131" fillId="0" borderId="0" xfId="0" applyFont="1" applyFill="1" applyBorder="1" applyAlignment="1">
      <alignment horizontal="left" vertical="center"/>
    </xf>
    <xf numFmtId="167" fontId="91" fillId="0" borderId="0" xfId="0" applyNumberFormat="1" applyFont="1" applyFill="1" applyBorder="1" applyAlignment="1">
      <alignment/>
    </xf>
    <xf numFmtId="0" fontId="94" fillId="0" borderId="0" xfId="0" applyFont="1" applyFill="1" applyBorder="1" applyAlignment="1">
      <alignment horizontal="center"/>
    </xf>
    <xf numFmtId="49" fontId="91" fillId="0" borderId="0" xfId="0" applyNumberFormat="1" applyFont="1" applyFill="1" applyBorder="1" applyAlignment="1">
      <alignment horizontal="center"/>
    </xf>
    <xf numFmtId="3" fontId="94" fillId="0" borderId="0" xfId="0" applyNumberFormat="1" applyFont="1" applyFill="1" applyBorder="1" applyAlignment="1">
      <alignment horizontal="center"/>
    </xf>
    <xf numFmtId="1" fontId="91" fillId="0" borderId="0" xfId="0" applyNumberFormat="1" applyFont="1" applyFill="1" applyBorder="1" applyAlignment="1">
      <alignment horizontal="center"/>
    </xf>
    <xf numFmtId="0" fontId="123" fillId="0" borderId="0" xfId="0" applyFont="1" applyFill="1" applyBorder="1" applyAlignment="1">
      <alignment/>
    </xf>
    <xf numFmtId="9" fontId="91" fillId="0" borderId="0" xfId="0" applyNumberFormat="1" applyFont="1" applyFill="1" applyBorder="1" applyAlignment="1">
      <alignment horizontal="right"/>
    </xf>
    <xf numFmtId="9" fontId="91" fillId="0" borderId="0" xfId="0" applyNumberFormat="1" applyFont="1" applyFill="1" applyBorder="1" applyAlignment="1">
      <alignment horizontal="center"/>
    </xf>
    <xf numFmtId="168" fontId="91" fillId="0" borderId="0" xfId="0" applyNumberFormat="1" applyFont="1" applyFill="1" applyBorder="1" applyAlignment="1">
      <alignment horizontal="left"/>
    </xf>
    <xf numFmtId="9" fontId="94" fillId="0" borderId="0" xfId="0" applyNumberFormat="1" applyFont="1" applyFill="1" applyBorder="1" applyAlignment="1">
      <alignment/>
    </xf>
    <xf numFmtId="174" fontId="91" fillId="0" borderId="0" xfId="0" applyNumberFormat="1" applyFont="1" applyFill="1" applyBorder="1" applyAlignment="1">
      <alignment/>
    </xf>
    <xf numFmtId="0" fontId="123" fillId="0" borderId="0" xfId="0" applyFont="1" applyFill="1" applyBorder="1" applyAlignment="1">
      <alignment/>
    </xf>
    <xf numFmtId="10" fontId="91" fillId="0" borderId="0" xfId="0" applyNumberFormat="1" applyFont="1" applyFill="1" applyBorder="1" applyAlignment="1">
      <alignment/>
    </xf>
    <xf numFmtId="178" fontId="91" fillId="0" borderId="0" xfId="0" applyNumberFormat="1" applyFont="1" applyFill="1" applyBorder="1" applyAlignment="1">
      <alignment/>
    </xf>
    <xf numFmtId="0" fontId="113" fillId="0" borderId="0" xfId="0" applyFont="1" applyFill="1" applyBorder="1" applyAlignment="1">
      <alignment/>
    </xf>
    <xf numFmtId="3" fontId="91" fillId="0" borderId="0" xfId="0" applyNumberFormat="1" applyFont="1" applyFill="1" applyBorder="1" applyAlignment="1">
      <alignment horizontal="left"/>
    </xf>
    <xf numFmtId="0" fontId="113" fillId="0" borderId="0" xfId="0" applyFont="1" applyFill="1" applyBorder="1" applyAlignment="1">
      <alignment horizontal="right"/>
    </xf>
    <xf numFmtId="3" fontId="113" fillId="0" borderId="0" xfId="0" applyNumberFormat="1" applyFont="1" applyFill="1" applyBorder="1" applyAlignment="1">
      <alignment horizontal="center"/>
    </xf>
    <xf numFmtId="9" fontId="91" fillId="0" borderId="0" xfId="0" applyNumberFormat="1" applyFont="1" applyFill="1" applyBorder="1" applyAlignment="1">
      <alignment/>
    </xf>
    <xf numFmtId="170" fontId="91" fillId="0" borderId="0" xfId="0" applyNumberFormat="1" applyFont="1" applyFill="1" applyBorder="1" applyAlignment="1">
      <alignment horizontal="right"/>
    </xf>
    <xf numFmtId="164" fontId="94" fillId="0" borderId="0" xfId="0" applyNumberFormat="1" applyFont="1" applyFill="1" applyBorder="1" applyAlignment="1">
      <alignment horizontal="left"/>
    </xf>
    <xf numFmtId="0" fontId="120" fillId="0" borderId="0" xfId="0" applyFont="1" applyFill="1" applyBorder="1" applyAlignment="1">
      <alignment horizontal="right"/>
    </xf>
    <xf numFmtId="170" fontId="91" fillId="0" borderId="0" xfId="0" applyNumberFormat="1" applyFont="1" applyFill="1" applyBorder="1" applyAlignment="1">
      <alignment horizontal="center"/>
    </xf>
    <xf numFmtId="164" fontId="91" fillId="0" borderId="0" xfId="0" applyNumberFormat="1" applyFont="1" applyFill="1" applyBorder="1" applyAlignment="1">
      <alignment horizontal="center"/>
    </xf>
    <xf numFmtId="164" fontId="94" fillId="0" borderId="0" xfId="0" applyNumberFormat="1" applyFont="1" applyFill="1" applyBorder="1" applyAlignment="1">
      <alignment horizontal="center"/>
    </xf>
    <xf numFmtId="167" fontId="91" fillId="0" borderId="0" xfId="0" applyNumberFormat="1" applyFont="1" applyFill="1" applyBorder="1" applyAlignment="1">
      <alignment horizontal="center"/>
    </xf>
    <xf numFmtId="10" fontId="94" fillId="0" borderId="0" xfId="0" applyNumberFormat="1" applyFont="1" applyFill="1" applyBorder="1" applyAlignment="1">
      <alignment/>
    </xf>
    <xf numFmtId="10" fontId="91" fillId="0" borderId="0" xfId="0" applyNumberFormat="1" applyFont="1" applyFill="1" applyBorder="1" applyAlignment="1">
      <alignment horizontal="right"/>
    </xf>
    <xf numFmtId="3" fontId="120" fillId="0" borderId="0" xfId="0" applyNumberFormat="1" applyFont="1" applyFill="1" applyBorder="1" applyAlignment="1">
      <alignment horizontal="center"/>
    </xf>
    <xf numFmtId="164" fontId="113" fillId="0" borderId="0" xfId="0" applyNumberFormat="1" applyFont="1" applyFill="1" applyBorder="1" applyAlignment="1">
      <alignment horizontal="center"/>
    </xf>
    <xf numFmtId="2" fontId="91" fillId="0" borderId="0" xfId="0" applyNumberFormat="1" applyFont="1" applyFill="1" applyBorder="1" applyAlignment="1">
      <alignment horizontal="right"/>
    </xf>
    <xf numFmtId="1" fontId="91" fillId="0" borderId="0" xfId="0" applyNumberFormat="1" applyFont="1" applyFill="1" applyBorder="1" applyAlignment="1">
      <alignment horizontal="left"/>
    </xf>
    <xf numFmtId="2" fontId="91" fillId="0" borderId="0" xfId="0" applyNumberFormat="1" applyFont="1" applyFill="1" applyBorder="1" applyAlignment="1">
      <alignment horizontal="left"/>
    </xf>
    <xf numFmtId="0" fontId="91" fillId="0" borderId="0" xfId="0" applyFont="1" applyFill="1" applyBorder="1" applyAlignment="1" applyProtection="1">
      <alignment horizontal="center"/>
      <protection/>
    </xf>
    <xf numFmtId="0" fontId="91" fillId="0" borderId="0" xfId="0" applyFont="1" applyFill="1" applyBorder="1" applyAlignment="1" applyProtection="1">
      <alignment horizontal="right"/>
      <protection/>
    </xf>
    <xf numFmtId="0" fontId="91" fillId="0" borderId="0" xfId="0" applyFont="1" applyFill="1" applyBorder="1" applyAlignment="1" applyProtection="1">
      <alignment/>
      <protection/>
    </xf>
    <xf numFmtId="172" fontId="91" fillId="0" borderId="0" xfId="0" applyNumberFormat="1" applyFont="1" applyFill="1" applyBorder="1" applyAlignment="1">
      <alignment horizontal="right"/>
    </xf>
    <xf numFmtId="167" fontId="91" fillId="0" borderId="0" xfId="0" applyNumberFormat="1" applyFont="1" applyFill="1" applyBorder="1" applyAlignment="1">
      <alignment horizontal="right"/>
    </xf>
    <xf numFmtId="167" fontId="91" fillId="0" borderId="0" xfId="0" applyNumberFormat="1" applyFont="1" applyFill="1" applyBorder="1" applyAlignment="1">
      <alignment horizontal="left"/>
    </xf>
    <xf numFmtId="172" fontId="91" fillId="0" borderId="0" xfId="0" applyNumberFormat="1" applyFont="1" applyFill="1" applyBorder="1" applyAlignment="1">
      <alignment horizontal="center"/>
    </xf>
    <xf numFmtId="0" fontId="129" fillId="0" borderId="0" xfId="0" applyFont="1" applyFill="1" applyBorder="1" applyAlignment="1">
      <alignment/>
    </xf>
    <xf numFmtId="4" fontId="94" fillId="0" borderId="0" xfId="0" applyNumberFormat="1" applyFont="1" applyFill="1" applyBorder="1" applyAlignment="1">
      <alignment/>
    </xf>
    <xf numFmtId="2" fontId="94" fillId="0" borderId="0" xfId="0" applyNumberFormat="1" applyFont="1" applyFill="1" applyBorder="1" applyAlignment="1">
      <alignment/>
    </xf>
    <xf numFmtId="171" fontId="91" fillId="0" borderId="0" xfId="0" applyNumberFormat="1" applyFont="1" applyFill="1" applyBorder="1" applyAlignment="1">
      <alignment horizontal="center"/>
    </xf>
    <xf numFmtId="170" fontId="120" fillId="0" borderId="0" xfId="0" applyNumberFormat="1" applyFont="1" applyFill="1" applyBorder="1" applyAlignment="1">
      <alignment horizontal="center"/>
    </xf>
    <xf numFmtId="0" fontId="120" fillId="0" borderId="0" xfId="0" applyFont="1" applyFill="1" applyBorder="1" applyAlignment="1">
      <alignment horizontal="right" vertical="center"/>
    </xf>
    <xf numFmtId="2" fontId="94" fillId="0" borderId="0" xfId="0" applyNumberFormat="1" applyFont="1" applyFill="1" applyBorder="1" applyAlignment="1">
      <alignment horizontal="center"/>
    </xf>
    <xf numFmtId="167" fontId="94" fillId="0" borderId="0" xfId="0" applyNumberFormat="1" applyFont="1" applyFill="1" applyBorder="1" applyAlignment="1">
      <alignment horizontal="center"/>
    </xf>
    <xf numFmtId="0" fontId="132" fillId="0" borderId="0" xfId="0" applyFont="1" applyFill="1" applyBorder="1" applyAlignment="1">
      <alignment/>
    </xf>
    <xf numFmtId="6" fontId="91" fillId="0" borderId="0" xfId="0" applyNumberFormat="1" applyFont="1" applyFill="1" applyBorder="1" applyAlignment="1">
      <alignment horizontal="center"/>
    </xf>
    <xf numFmtId="8" fontId="91" fillId="0" borderId="0" xfId="0" applyNumberFormat="1" applyFont="1" applyFill="1" applyBorder="1" applyAlignment="1">
      <alignment horizontal="center"/>
    </xf>
    <xf numFmtId="10" fontId="91" fillId="0" borderId="0" xfId="0" applyNumberFormat="1" applyFont="1" applyFill="1" applyBorder="1" applyAlignment="1">
      <alignment horizontal="center"/>
    </xf>
    <xf numFmtId="9" fontId="94" fillId="0" borderId="0" xfId="0" applyNumberFormat="1" applyFont="1" applyFill="1" applyBorder="1" applyAlignment="1">
      <alignment horizontal="center"/>
    </xf>
    <xf numFmtId="1" fontId="91" fillId="0" borderId="0" xfId="0" applyNumberFormat="1" applyFont="1" applyFill="1" applyBorder="1" applyAlignment="1" applyProtection="1">
      <alignment horizontal="left"/>
      <protection/>
    </xf>
    <xf numFmtId="170" fontId="113" fillId="0" borderId="0" xfId="0" applyNumberFormat="1" applyFont="1" applyFill="1" applyBorder="1" applyAlignment="1">
      <alignment horizontal="center"/>
    </xf>
    <xf numFmtId="6" fontId="113" fillId="0" borderId="0" xfId="0" applyNumberFormat="1" applyFont="1" applyFill="1" applyBorder="1" applyAlignment="1">
      <alignment horizontal="center"/>
    </xf>
    <xf numFmtId="9" fontId="113" fillId="0" borderId="0" xfId="0" applyNumberFormat="1" applyFont="1" applyFill="1" applyBorder="1" applyAlignment="1">
      <alignment horizontal="center"/>
    </xf>
    <xf numFmtId="6" fontId="91" fillId="0" borderId="0" xfId="0" applyNumberFormat="1" applyFont="1" applyFill="1" applyBorder="1" applyAlignment="1">
      <alignment/>
    </xf>
    <xf numFmtId="0" fontId="133" fillId="0" borderId="0" xfId="0" applyFont="1" applyFill="1" applyBorder="1" applyAlignment="1">
      <alignment/>
    </xf>
    <xf numFmtId="0" fontId="91" fillId="0" borderId="0" xfId="0" applyFont="1" applyFill="1" applyBorder="1" applyAlignment="1">
      <alignment horizontal="left" vertical="center" wrapText="1"/>
    </xf>
    <xf numFmtId="4" fontId="125" fillId="0" borderId="0" xfId="0" applyNumberFormat="1" applyFont="1" applyFill="1" applyBorder="1" applyAlignment="1">
      <alignment horizontal="center" vertical="center"/>
    </xf>
    <xf numFmtId="4" fontId="108" fillId="0" borderId="0" xfId="0" applyNumberFormat="1" applyFont="1" applyFill="1" applyBorder="1" applyAlignment="1">
      <alignment horizontal="center"/>
    </xf>
    <xf numFmtId="0" fontId="108" fillId="0" borderId="0" xfId="0" applyFont="1" applyFill="1" applyBorder="1" applyAlignment="1">
      <alignment horizontal="center" vertical="center"/>
    </xf>
    <xf numFmtId="0" fontId="134" fillId="0" borderId="0" xfId="0" applyFont="1" applyFill="1" applyBorder="1" applyAlignment="1">
      <alignment vertical="center"/>
    </xf>
    <xf numFmtId="168" fontId="126" fillId="0" borderId="0" xfId="0" applyNumberFormat="1" applyFont="1" applyFill="1" applyBorder="1" applyAlignment="1">
      <alignment horizontal="center" vertical="center" wrapText="1"/>
    </xf>
    <xf numFmtId="10" fontId="108" fillId="0" borderId="0" xfId="0" applyNumberFormat="1" applyFont="1" applyFill="1" applyBorder="1" applyAlignment="1">
      <alignment/>
    </xf>
    <xf numFmtId="170" fontId="126" fillId="0" borderId="0" xfId="0" applyNumberFormat="1" applyFont="1" applyFill="1" applyBorder="1" applyAlignment="1">
      <alignment horizontal="center" vertical="center" wrapText="1"/>
    </xf>
    <xf numFmtId="10" fontId="126" fillId="0" borderId="0" xfId="0" applyNumberFormat="1" applyFont="1" applyFill="1" applyBorder="1" applyAlignment="1">
      <alignment horizontal="center" vertical="center" wrapText="1"/>
    </xf>
    <xf numFmtId="3" fontId="126" fillId="0" borderId="0" xfId="0" applyNumberFormat="1" applyFont="1" applyFill="1" applyBorder="1" applyAlignment="1">
      <alignment horizontal="center" vertical="center" wrapText="1"/>
    </xf>
    <xf numFmtId="0" fontId="126" fillId="0" borderId="0" xfId="0" applyFont="1" applyFill="1" applyBorder="1" applyAlignment="1">
      <alignment horizontal="center" vertical="center" wrapText="1"/>
    </xf>
    <xf numFmtId="10" fontId="108" fillId="0" borderId="0" xfId="0" applyNumberFormat="1" applyFont="1" applyFill="1" applyBorder="1" applyAlignment="1">
      <alignment horizontal="center"/>
    </xf>
    <xf numFmtId="168" fontId="108" fillId="0" borderId="0" xfId="0" applyNumberFormat="1" applyFont="1" applyFill="1" applyBorder="1" applyAlignment="1">
      <alignment/>
    </xf>
    <xf numFmtId="17" fontId="91" fillId="0" borderId="0" xfId="0" applyNumberFormat="1" applyFont="1" applyFill="1" applyBorder="1" applyAlignment="1">
      <alignment/>
    </xf>
    <xf numFmtId="0" fontId="110" fillId="0" borderId="0" xfId="0" applyFont="1" applyFill="1" applyBorder="1" applyAlignment="1">
      <alignment horizontal="centerContinuous"/>
    </xf>
    <xf numFmtId="9" fontId="108" fillId="0" borderId="0" xfId="0" applyNumberFormat="1" applyFont="1" applyFill="1" applyBorder="1" applyAlignment="1">
      <alignment/>
    </xf>
    <xf numFmtId="0" fontId="135" fillId="0" borderId="0" xfId="0" applyFont="1" applyFill="1" applyBorder="1" applyAlignment="1">
      <alignment vertical="center"/>
    </xf>
    <xf numFmtId="0" fontId="125" fillId="0" borderId="0" xfId="0" applyFont="1" applyFill="1" applyBorder="1" applyAlignment="1">
      <alignment horizontal="left" vertical="center" indent="1"/>
    </xf>
    <xf numFmtId="4" fontId="135" fillId="0" borderId="0" xfId="0" applyNumberFormat="1" applyFont="1" applyFill="1" applyBorder="1" applyAlignment="1">
      <alignment horizontal="center" vertical="center"/>
    </xf>
    <xf numFmtId="0" fontId="94" fillId="0" borderId="0" xfId="0" applyFont="1" applyFill="1" applyBorder="1" applyAlignment="1" applyProtection="1">
      <alignment horizontal="center"/>
      <protection/>
    </xf>
    <xf numFmtId="0" fontId="91" fillId="0" borderId="0" xfId="0" applyFont="1" applyFill="1" applyBorder="1" applyAlignment="1" applyProtection="1">
      <alignment horizontal="left"/>
      <protection/>
    </xf>
    <xf numFmtId="4" fontId="136" fillId="0" borderId="0" xfId="0" applyNumberFormat="1" applyFont="1" applyFill="1" applyBorder="1" applyAlignment="1">
      <alignment horizontal="center" vertical="center"/>
    </xf>
    <xf numFmtId="3" fontId="125" fillId="0" borderId="0" xfId="0" applyNumberFormat="1" applyFont="1" applyFill="1" applyBorder="1" applyAlignment="1">
      <alignment horizontal="center" vertical="center"/>
    </xf>
    <xf numFmtId="0" fontId="134" fillId="0" borderId="0" xfId="0" applyFont="1" applyFill="1" applyBorder="1" applyAlignment="1">
      <alignment horizontal="left" vertical="center"/>
    </xf>
    <xf numFmtId="0" fontId="134" fillId="0" borderId="0" xfId="0" applyFont="1" applyFill="1" applyBorder="1" applyAlignment="1">
      <alignment horizontal="center" wrapText="1"/>
    </xf>
    <xf numFmtId="0" fontId="134" fillId="0" borderId="0" xfId="0" applyFont="1" applyFill="1" applyBorder="1" applyAlignment="1">
      <alignment horizontal="center" vertical="center" wrapText="1"/>
    </xf>
    <xf numFmtId="0" fontId="125" fillId="0" borderId="0" xfId="0" applyFont="1" applyFill="1" applyBorder="1" applyAlignment="1">
      <alignment vertical="center"/>
    </xf>
    <xf numFmtId="168" fontId="134" fillId="0" borderId="0" xfId="0" applyNumberFormat="1" applyFont="1" applyFill="1" applyBorder="1" applyAlignment="1">
      <alignment horizontal="center" vertical="center"/>
    </xf>
    <xf numFmtId="4" fontId="134" fillId="0" borderId="0" xfId="0" applyNumberFormat="1" applyFont="1" applyFill="1" applyBorder="1" applyAlignment="1">
      <alignment horizontal="center" vertical="center"/>
    </xf>
    <xf numFmtId="3" fontId="134" fillId="0" borderId="0" xfId="0" applyNumberFormat="1" applyFont="1" applyFill="1" applyBorder="1" applyAlignment="1">
      <alignment horizontal="center" vertical="center"/>
    </xf>
    <xf numFmtId="10" fontId="94" fillId="0" borderId="0" xfId="0" applyNumberFormat="1" applyFont="1" applyFill="1" applyBorder="1" applyAlignment="1">
      <alignment vertical="top"/>
    </xf>
    <xf numFmtId="4" fontId="134" fillId="0" borderId="0" xfId="0" applyNumberFormat="1" applyFont="1" applyFill="1" applyBorder="1" applyAlignment="1">
      <alignment horizontal="right" vertical="center" wrapText="1"/>
    </xf>
    <xf numFmtId="0" fontId="108" fillId="0" borderId="0" xfId="0" applyFont="1" applyFill="1" applyBorder="1" applyAlignment="1">
      <alignment horizontal="center"/>
    </xf>
    <xf numFmtId="4" fontId="134" fillId="0" borderId="0" xfId="0" applyNumberFormat="1" applyFont="1" applyFill="1" applyBorder="1" applyAlignment="1">
      <alignment horizontal="left" vertical="center"/>
    </xf>
    <xf numFmtId="169" fontId="91" fillId="0" borderId="0" xfId="0" applyNumberFormat="1" applyFont="1" applyFill="1" applyBorder="1" applyAlignment="1">
      <alignment horizontal="center" vertical="center"/>
    </xf>
    <xf numFmtId="10" fontId="91" fillId="0" borderId="0" xfId="0" applyNumberFormat="1" applyFont="1" applyFill="1" applyBorder="1" applyAlignment="1">
      <alignment vertical="top"/>
    </xf>
    <xf numFmtId="165" fontId="134" fillId="0" borderId="0" xfId="0" applyNumberFormat="1" applyFont="1" applyFill="1" applyBorder="1" applyAlignment="1">
      <alignment horizontal="center" vertical="center"/>
    </xf>
    <xf numFmtId="10" fontId="134" fillId="0" borderId="0" xfId="0" applyNumberFormat="1" applyFont="1" applyFill="1" applyBorder="1" applyAlignment="1">
      <alignment horizontal="center" vertical="top"/>
    </xf>
    <xf numFmtId="4" fontId="134" fillId="0" borderId="0" xfId="0" applyNumberFormat="1" applyFont="1" applyFill="1" applyBorder="1" applyAlignment="1">
      <alignment horizontal="center" vertical="center" wrapText="1"/>
    </xf>
    <xf numFmtId="3" fontId="136" fillId="0" borderId="0" xfId="0" applyNumberFormat="1" applyFont="1" applyFill="1" applyBorder="1" applyAlignment="1">
      <alignment horizontal="center" vertical="center"/>
    </xf>
    <xf numFmtId="4" fontId="108" fillId="0" borderId="0" xfId="0" applyNumberFormat="1" applyFont="1" applyFill="1" applyBorder="1" applyAlignment="1">
      <alignment/>
    </xf>
    <xf numFmtId="17" fontId="91" fillId="0" borderId="0" xfId="0" applyNumberFormat="1" applyFont="1" applyFill="1" applyBorder="1" applyAlignment="1">
      <alignment horizontal="right"/>
    </xf>
    <xf numFmtId="172" fontId="91" fillId="0" borderId="0" xfId="0" applyNumberFormat="1" applyFont="1" applyFill="1" applyBorder="1" applyAlignment="1">
      <alignment/>
    </xf>
    <xf numFmtId="10" fontId="91" fillId="0" borderId="0" xfId="50" applyNumberFormat="1" applyFont="1" applyFill="1" applyBorder="1" applyAlignment="1">
      <alignment/>
    </xf>
    <xf numFmtId="4" fontId="137" fillId="0" borderId="0" xfId="0" applyNumberFormat="1" applyFont="1" applyFill="1" applyBorder="1" applyAlignment="1">
      <alignment horizontal="center" vertical="center"/>
    </xf>
    <xf numFmtId="0" fontId="129" fillId="0" borderId="0" xfId="0" applyFont="1" applyFill="1" applyBorder="1" applyAlignment="1">
      <alignment horizontal="right"/>
    </xf>
    <xf numFmtId="3" fontId="113" fillId="0" borderId="0" xfId="0" applyNumberFormat="1" applyFont="1" applyFill="1" applyBorder="1" applyAlignment="1">
      <alignment/>
    </xf>
    <xf numFmtId="3" fontId="129" fillId="0" borderId="0" xfId="0" applyNumberFormat="1" applyFont="1" applyFill="1" applyBorder="1" applyAlignment="1">
      <alignment/>
    </xf>
    <xf numFmtId="167" fontId="129" fillId="0" borderId="0" xfId="0" applyNumberFormat="1" applyFont="1" applyFill="1" applyBorder="1" applyAlignment="1">
      <alignment/>
    </xf>
    <xf numFmtId="170" fontId="129" fillId="0" borderId="0" xfId="0" applyNumberFormat="1" applyFont="1" applyFill="1" applyBorder="1" applyAlignment="1">
      <alignment/>
    </xf>
    <xf numFmtId="172" fontId="129" fillId="0" borderId="0" xfId="0" applyNumberFormat="1" applyFont="1" applyFill="1" applyBorder="1" applyAlignment="1">
      <alignment/>
    </xf>
    <xf numFmtId="9" fontId="129" fillId="0" borderId="0" xfId="0" applyNumberFormat="1" applyFont="1" applyFill="1" applyBorder="1" applyAlignment="1">
      <alignment/>
    </xf>
    <xf numFmtId="0" fontId="129" fillId="0" borderId="0" xfId="0" applyFont="1" applyFill="1" applyBorder="1" applyAlignment="1">
      <alignment horizontal="center"/>
    </xf>
    <xf numFmtId="1" fontId="113" fillId="0" borderId="0" xfId="0" applyNumberFormat="1" applyFont="1" applyFill="1" applyBorder="1" applyAlignment="1">
      <alignment/>
    </xf>
    <xf numFmtId="0" fontId="129" fillId="0" borderId="0" xfId="0" applyFont="1" applyFill="1" applyBorder="1" applyAlignment="1">
      <alignment/>
    </xf>
    <xf numFmtId="3" fontId="129" fillId="0" borderId="0" xfId="0" applyNumberFormat="1" applyFont="1" applyFill="1" applyBorder="1" applyAlignment="1">
      <alignment/>
    </xf>
    <xf numFmtId="2" fontId="129" fillId="0" borderId="0" xfId="0" applyNumberFormat="1" applyFont="1" applyFill="1" applyBorder="1" applyAlignment="1">
      <alignment/>
    </xf>
    <xf numFmtId="169" fontId="129" fillId="0" borderId="0" xfId="0" applyNumberFormat="1" applyFont="1" applyFill="1" applyBorder="1" applyAlignment="1">
      <alignment/>
    </xf>
    <xf numFmtId="0" fontId="129" fillId="0" borderId="0" xfId="0" applyFont="1" applyFill="1" applyBorder="1" applyAlignment="1">
      <alignment horizontal="center"/>
    </xf>
    <xf numFmtId="3" fontId="113" fillId="0" borderId="0" xfId="0" applyNumberFormat="1" applyFont="1" applyFill="1" applyBorder="1" applyAlignment="1">
      <alignment/>
    </xf>
    <xf numFmtId="170" fontId="129" fillId="0" borderId="0" xfId="0" applyNumberFormat="1" applyFont="1" applyFill="1" applyBorder="1" applyAlignment="1">
      <alignment/>
    </xf>
    <xf numFmtId="3" fontId="113" fillId="0" borderId="0" xfId="0" applyNumberFormat="1" applyFont="1" applyFill="1" applyBorder="1" applyAlignment="1">
      <alignment horizontal="right"/>
    </xf>
    <xf numFmtId="3" fontId="129" fillId="0" borderId="0" xfId="0" applyNumberFormat="1" applyFont="1" applyFill="1" applyBorder="1" applyAlignment="1">
      <alignment horizontal="right"/>
    </xf>
    <xf numFmtId="0" fontId="129" fillId="0" borderId="0" xfId="0" applyFont="1" applyFill="1" applyBorder="1" applyAlignment="1">
      <alignment horizontal="left"/>
    </xf>
    <xf numFmtId="2" fontId="129" fillId="0" borderId="0" xfId="0" applyNumberFormat="1" applyFont="1" applyFill="1" applyBorder="1" applyAlignment="1">
      <alignment/>
    </xf>
    <xf numFmtId="167" fontId="129" fillId="0" borderId="0" xfId="0" applyNumberFormat="1" applyFont="1" applyFill="1" applyBorder="1" applyAlignment="1">
      <alignment horizontal="center"/>
    </xf>
    <xf numFmtId="3" fontId="129" fillId="0" borderId="0" xfId="0" applyNumberFormat="1" applyFont="1" applyFill="1" applyBorder="1" applyAlignment="1">
      <alignment horizontal="center"/>
    </xf>
    <xf numFmtId="169" fontId="129" fillId="0" borderId="0" xfId="0" applyNumberFormat="1" applyFont="1" applyFill="1" applyBorder="1" applyAlignment="1">
      <alignment/>
    </xf>
    <xf numFmtId="9" fontId="129" fillId="0" borderId="0" xfId="0" applyNumberFormat="1" applyFont="1" applyFill="1" applyBorder="1" applyAlignment="1">
      <alignment horizontal="center"/>
    </xf>
    <xf numFmtId="9" fontId="113" fillId="0" borderId="0" xfId="0" applyNumberFormat="1" applyFont="1" applyFill="1" applyBorder="1" applyAlignment="1">
      <alignment/>
    </xf>
    <xf numFmtId="3" fontId="129" fillId="0" borderId="0" xfId="0" applyNumberFormat="1" applyFont="1" applyFill="1" applyBorder="1" applyAlignment="1">
      <alignment horizontal="left"/>
    </xf>
    <xf numFmtId="1" fontId="129" fillId="0" borderId="0" xfId="0" applyNumberFormat="1" applyFont="1" applyFill="1" applyBorder="1" applyAlignment="1">
      <alignment horizontal="center"/>
    </xf>
    <xf numFmtId="169" fontId="129" fillId="0" borderId="0" xfId="0" applyNumberFormat="1" applyFont="1" applyFill="1" applyBorder="1" applyAlignment="1">
      <alignment horizontal="center"/>
    </xf>
    <xf numFmtId="184" fontId="129" fillId="0" borderId="0" xfId="0" applyNumberFormat="1" applyFont="1" applyFill="1" applyBorder="1" applyAlignment="1">
      <alignment horizontal="center"/>
    </xf>
    <xf numFmtId="165" fontId="129" fillId="0" borderId="0" xfId="0" applyNumberFormat="1" applyFont="1" applyFill="1" applyBorder="1" applyAlignment="1">
      <alignment horizontal="center"/>
    </xf>
    <xf numFmtId="0" fontId="94" fillId="0" borderId="0" xfId="0" applyFont="1" applyFill="1" applyBorder="1" applyAlignment="1" applyProtection="1">
      <alignment horizontal="center" vertical="center"/>
      <protection locked="0"/>
    </xf>
    <xf numFmtId="0" fontId="138" fillId="0" borderId="0" xfId="0" applyFont="1" applyFill="1" applyBorder="1" applyAlignment="1" applyProtection="1">
      <alignment horizontal="center" vertical="center"/>
      <protection locked="0"/>
    </xf>
    <xf numFmtId="0" fontId="119" fillId="0" borderId="0" xfId="0" applyFont="1" applyFill="1" applyBorder="1" applyAlignment="1" applyProtection="1">
      <alignment horizontal="center" vertical="center"/>
      <protection locked="0"/>
    </xf>
    <xf numFmtId="0" fontId="108" fillId="0" borderId="0" xfId="0" applyFont="1" applyFill="1" applyBorder="1" applyAlignment="1" applyProtection="1">
      <alignment vertical="center"/>
      <protection locked="0"/>
    </xf>
    <xf numFmtId="3" fontId="108" fillId="0" borderId="0" xfId="0" applyNumberFormat="1" applyFont="1" applyFill="1" applyBorder="1" applyAlignment="1" applyProtection="1">
      <alignment vertical="center"/>
      <protection locked="0"/>
    </xf>
    <xf numFmtId="0" fontId="108" fillId="0" borderId="0" xfId="0" applyFont="1" applyFill="1" applyBorder="1" applyAlignment="1" applyProtection="1">
      <alignment horizontal="center" vertical="center"/>
      <protection locked="0"/>
    </xf>
    <xf numFmtId="0" fontId="108" fillId="0" borderId="0" xfId="0" applyFont="1" applyFill="1" applyBorder="1" applyAlignment="1" applyProtection="1">
      <alignment vertical="center"/>
      <protection/>
    </xf>
    <xf numFmtId="9" fontId="113" fillId="0" borderId="0" xfId="0" applyNumberFormat="1" applyFont="1" applyFill="1" applyBorder="1" applyAlignment="1" applyProtection="1">
      <alignment vertical="center"/>
      <protection locked="0"/>
    </xf>
    <xf numFmtId="9" fontId="108" fillId="0" borderId="0" xfId="0" applyNumberFormat="1" applyFont="1" applyFill="1" applyBorder="1" applyAlignment="1" applyProtection="1">
      <alignment vertical="center"/>
      <protection locked="0"/>
    </xf>
    <xf numFmtId="0" fontId="108" fillId="0" borderId="0" xfId="0" applyFont="1" applyFill="1" applyBorder="1" applyAlignment="1" applyProtection="1">
      <alignment vertical="center" wrapText="1"/>
      <protection locked="0"/>
    </xf>
    <xf numFmtId="2" fontId="108" fillId="0" borderId="0" xfId="0" applyNumberFormat="1" applyFont="1" applyFill="1" applyBorder="1" applyAlignment="1" applyProtection="1">
      <alignment vertical="center"/>
      <protection locked="0"/>
    </xf>
    <xf numFmtId="167" fontId="108" fillId="0" borderId="0" xfId="0" applyNumberFormat="1" applyFont="1" applyFill="1" applyBorder="1" applyAlignment="1" applyProtection="1">
      <alignment vertical="center"/>
      <protection locked="0"/>
    </xf>
    <xf numFmtId="171" fontId="108" fillId="0" borderId="0" xfId="0" applyNumberFormat="1" applyFont="1" applyFill="1" applyBorder="1" applyAlignment="1" applyProtection="1">
      <alignment vertical="center"/>
      <protection locked="0"/>
    </xf>
    <xf numFmtId="176" fontId="108" fillId="0" borderId="0" xfId="0" applyNumberFormat="1" applyFont="1" applyFill="1" applyBorder="1" applyAlignment="1" applyProtection="1" quotePrefix="1">
      <alignment horizontal="center" vertical="center"/>
      <protection locked="0"/>
    </xf>
    <xf numFmtId="176" fontId="108" fillId="0" borderId="0" xfId="0" applyNumberFormat="1" applyFont="1" applyFill="1" applyBorder="1" applyAlignment="1" applyProtection="1">
      <alignment horizontal="center" vertical="center"/>
      <protection locked="0"/>
    </xf>
    <xf numFmtId="0" fontId="108" fillId="0" borderId="0" xfId="0" applyFont="1" applyFill="1" applyBorder="1" applyAlignment="1" applyProtection="1" quotePrefix="1">
      <alignment horizontal="center" vertical="center"/>
      <protection locked="0"/>
    </xf>
    <xf numFmtId="0" fontId="108" fillId="0" borderId="0" xfId="0" applyFont="1" applyFill="1" applyBorder="1" applyAlignment="1" applyProtection="1">
      <alignment horizontal="center" vertical="center"/>
      <protection/>
    </xf>
    <xf numFmtId="177" fontId="108" fillId="0" borderId="0" xfId="0" applyNumberFormat="1" applyFont="1" applyFill="1" applyBorder="1" applyAlignment="1" applyProtection="1">
      <alignment vertical="center"/>
      <protection/>
    </xf>
    <xf numFmtId="49" fontId="139" fillId="0" borderId="0" xfId="0" applyNumberFormat="1" applyFont="1" applyFill="1" applyBorder="1" applyAlignment="1">
      <alignment horizontal="left" vertical="center"/>
    </xf>
    <xf numFmtId="176" fontId="108" fillId="0" borderId="0" xfId="0" applyNumberFormat="1" applyFont="1" applyFill="1" applyBorder="1" applyAlignment="1" applyProtection="1">
      <alignment vertical="center"/>
      <protection/>
    </xf>
    <xf numFmtId="3" fontId="123" fillId="0" borderId="0" xfId="0" applyNumberFormat="1" applyFont="1" applyFill="1" applyBorder="1" applyAlignment="1" applyProtection="1">
      <alignment horizontal="center" vertical="center"/>
      <protection locked="0"/>
    </xf>
    <xf numFmtId="172" fontId="123" fillId="0" borderId="0" xfId="0" applyNumberFormat="1" applyFont="1" applyFill="1" applyBorder="1" applyAlignment="1" applyProtection="1">
      <alignment horizontal="center" vertical="center"/>
      <protection locked="0"/>
    </xf>
    <xf numFmtId="4" fontId="123" fillId="0" borderId="0" xfId="0" applyNumberFormat="1" applyFont="1" applyFill="1" applyBorder="1" applyAlignment="1" applyProtection="1">
      <alignment horizontal="center" vertical="center"/>
      <protection locked="0"/>
    </xf>
    <xf numFmtId="4" fontId="120" fillId="0" borderId="0" xfId="0" applyNumberFormat="1" applyFont="1" applyFill="1" applyBorder="1" applyAlignment="1" applyProtection="1">
      <alignment vertical="center"/>
      <protection locked="0"/>
    </xf>
    <xf numFmtId="9" fontId="113" fillId="0" borderId="0" xfId="0" applyNumberFormat="1" applyFont="1" applyFill="1" applyBorder="1" applyAlignment="1" applyProtection="1">
      <alignment horizontal="center" vertical="center"/>
      <protection locked="0"/>
    </xf>
    <xf numFmtId="172" fontId="133" fillId="0" borderId="0" xfId="0" applyNumberFormat="1" applyFont="1" applyFill="1" applyBorder="1" applyAlignment="1" applyProtection="1">
      <alignment horizontal="center" vertical="center"/>
      <protection locked="0"/>
    </xf>
    <xf numFmtId="3" fontId="133" fillId="0" borderId="0" xfId="0" applyNumberFormat="1" applyFont="1" applyFill="1" applyBorder="1" applyAlignment="1" applyProtection="1">
      <alignment horizontal="center" vertical="center"/>
      <protection locked="0"/>
    </xf>
    <xf numFmtId="10" fontId="108" fillId="0" borderId="0" xfId="0" applyNumberFormat="1" applyFont="1" applyFill="1" applyBorder="1" applyAlignment="1" applyProtection="1">
      <alignment vertical="center"/>
      <protection locked="0"/>
    </xf>
    <xf numFmtId="0" fontId="113" fillId="0" borderId="0" xfId="0" applyFont="1" applyFill="1" applyBorder="1" applyAlignment="1" applyProtection="1">
      <alignment vertical="center"/>
      <protection locked="0"/>
    </xf>
    <xf numFmtId="0" fontId="123" fillId="0" borderId="0" xfId="0" applyFont="1" applyFill="1" applyBorder="1" applyAlignment="1" applyProtection="1">
      <alignment vertical="center"/>
      <protection locked="0"/>
    </xf>
    <xf numFmtId="10" fontId="123" fillId="0" borderId="0" xfId="0" applyNumberFormat="1" applyFont="1" applyFill="1" applyBorder="1" applyAlignment="1" applyProtection="1">
      <alignment vertical="center"/>
      <protection locked="0"/>
    </xf>
    <xf numFmtId="0" fontId="123" fillId="0" borderId="0" xfId="0" applyFont="1" applyFill="1" applyBorder="1" applyAlignment="1" applyProtection="1">
      <alignment horizontal="center" vertical="top" wrapText="1"/>
      <protection locked="0"/>
    </xf>
    <xf numFmtId="0" fontId="120" fillId="0" borderId="0" xfId="0" applyFont="1" applyFill="1" applyBorder="1" applyAlignment="1" applyProtection="1">
      <alignment horizontal="center" vertical="top" wrapText="1"/>
      <protection locked="0"/>
    </xf>
    <xf numFmtId="169" fontId="120" fillId="0" borderId="0" xfId="0" applyNumberFormat="1" applyFont="1" applyFill="1" applyBorder="1" applyAlignment="1" applyProtection="1">
      <alignment horizontal="center" vertical="center"/>
      <protection locked="0"/>
    </xf>
    <xf numFmtId="0" fontId="120" fillId="0" borderId="0" xfId="0" applyFont="1" applyFill="1" applyBorder="1" applyAlignment="1" applyProtection="1">
      <alignment horizontal="center" vertical="center" wrapText="1"/>
      <protection locked="0"/>
    </xf>
    <xf numFmtId="0" fontId="140" fillId="0" borderId="0" xfId="0" applyFont="1" applyFill="1" applyBorder="1" applyAlignment="1" applyProtection="1">
      <alignment vertical="center"/>
      <protection locked="0"/>
    </xf>
    <xf numFmtId="0" fontId="119" fillId="0" borderId="0" xfId="0" applyFont="1" applyFill="1" applyBorder="1" applyAlignment="1" applyProtection="1">
      <alignment horizontal="center" vertical="center" wrapText="1"/>
      <protection locked="0"/>
    </xf>
    <xf numFmtId="169" fontId="113" fillId="0" borderId="0" xfId="0" applyNumberFormat="1" applyFont="1" applyFill="1" applyBorder="1" applyAlignment="1" applyProtection="1">
      <alignment horizontal="center" vertical="center"/>
      <protection locked="0"/>
    </xf>
    <xf numFmtId="0" fontId="141" fillId="0" borderId="0" xfId="0" applyFont="1" applyFill="1" applyBorder="1" applyAlignment="1" applyProtection="1">
      <alignment vertical="center"/>
      <protection locked="0"/>
    </xf>
    <xf numFmtId="0" fontId="94" fillId="0" borderId="0" xfId="0" applyFont="1" applyFill="1" applyBorder="1" applyAlignment="1" applyProtection="1">
      <alignment vertical="center"/>
      <protection locked="0"/>
    </xf>
    <xf numFmtId="0" fontId="119" fillId="0" borderId="0" xfId="0" applyFont="1" applyFill="1" applyBorder="1" applyAlignment="1" applyProtection="1">
      <alignment vertical="center"/>
      <protection locked="0"/>
    </xf>
    <xf numFmtId="0" fontId="119" fillId="0" borderId="0" xfId="0" applyFont="1" applyFill="1" applyBorder="1" applyAlignment="1" applyProtection="1">
      <alignment horizontal="right"/>
      <protection locked="0"/>
    </xf>
    <xf numFmtId="169" fontId="113" fillId="0" borderId="0" xfId="0" applyNumberFormat="1" applyFont="1" applyFill="1" applyBorder="1" applyAlignment="1" applyProtection="1">
      <alignment vertical="center"/>
      <protection locked="0"/>
    </xf>
    <xf numFmtId="0" fontId="119" fillId="0" borderId="0" xfId="0" applyFont="1" applyFill="1" applyBorder="1" applyAlignment="1" applyProtection="1">
      <alignment vertical="center"/>
      <protection/>
    </xf>
    <xf numFmtId="175" fontId="108" fillId="0" borderId="0" xfId="0" applyNumberFormat="1" applyFont="1" applyFill="1" applyBorder="1" applyAlignment="1" applyProtection="1">
      <alignment vertical="center"/>
      <protection locked="0"/>
    </xf>
    <xf numFmtId="0" fontId="122" fillId="0" borderId="0" xfId="0" applyFont="1" applyFill="1" applyBorder="1" applyAlignment="1" applyProtection="1">
      <alignment horizontal="right" vertical="center"/>
      <protection/>
    </xf>
    <xf numFmtId="176" fontId="108" fillId="0" borderId="0" xfId="0" applyNumberFormat="1" applyFont="1" applyFill="1" applyBorder="1" applyAlignment="1" applyProtection="1">
      <alignment vertical="center"/>
      <protection locked="0"/>
    </xf>
    <xf numFmtId="0" fontId="108" fillId="0" borderId="0" xfId="0" applyFont="1" applyFill="1" applyBorder="1" applyAlignment="1" applyProtection="1" quotePrefix="1">
      <alignment horizontal="center" vertical="center"/>
      <protection/>
    </xf>
    <xf numFmtId="177" fontId="108" fillId="0" borderId="0" xfId="0" applyNumberFormat="1" applyFont="1" applyFill="1" applyBorder="1" applyAlignment="1" applyProtection="1" quotePrefix="1">
      <alignment horizontal="center" vertical="center"/>
      <protection/>
    </xf>
    <xf numFmtId="177" fontId="108" fillId="0" borderId="0" xfId="0" applyNumberFormat="1" applyFont="1" applyFill="1" applyBorder="1" applyAlignment="1" applyProtection="1">
      <alignment vertical="center"/>
      <protection locked="0"/>
    </xf>
    <xf numFmtId="167" fontId="119" fillId="0" borderId="0" xfId="0" applyNumberFormat="1" applyFont="1" applyFill="1" applyBorder="1" applyAlignment="1" applyProtection="1">
      <alignment vertical="center"/>
      <protection locked="0"/>
    </xf>
    <xf numFmtId="167" fontId="113" fillId="0" borderId="0" xfId="0" applyNumberFormat="1" applyFont="1" applyFill="1" applyBorder="1" applyAlignment="1" applyProtection="1">
      <alignment vertical="center"/>
      <protection locked="0"/>
    </xf>
    <xf numFmtId="0" fontId="108" fillId="0" borderId="0" xfId="0" applyFont="1" applyFill="1" applyBorder="1" applyAlignment="1">
      <alignment vertical="center"/>
    </xf>
    <xf numFmtId="49" fontId="122" fillId="0" borderId="0" xfId="0" applyNumberFormat="1" applyFont="1" applyFill="1" applyBorder="1" applyAlignment="1">
      <alignment horizontal="right" vertical="center"/>
    </xf>
    <xf numFmtId="0" fontId="91" fillId="0" borderId="0" xfId="0" applyFont="1" applyAlignment="1" applyProtection="1">
      <alignment horizontal="left"/>
      <protection hidden="1" locked="0"/>
    </xf>
    <xf numFmtId="0" fontId="91" fillId="0" borderId="0" xfId="0" applyFont="1" applyAlignment="1" applyProtection="1">
      <alignment horizontal="right"/>
      <protection hidden="1" locked="0"/>
    </xf>
    <xf numFmtId="0" fontId="91" fillId="0" borderId="0" xfId="0" applyFont="1" applyFill="1" applyBorder="1" applyAlignment="1">
      <alignment wrapText="1"/>
    </xf>
    <xf numFmtId="0" fontId="91" fillId="0" borderId="0" xfId="0" applyFont="1" applyFill="1" applyBorder="1" applyAlignment="1">
      <alignment horizontal="right"/>
    </xf>
    <xf numFmtId="0" fontId="91" fillId="0" borderId="0" xfId="0" applyFont="1" applyFill="1" applyBorder="1" applyAlignment="1">
      <alignment horizontal="left"/>
    </xf>
    <xf numFmtId="0" fontId="113" fillId="0" borderId="0" xfId="0" applyFont="1" applyFill="1" applyBorder="1" applyAlignment="1">
      <alignment horizontal="center"/>
    </xf>
    <xf numFmtId="0" fontId="91" fillId="0" borderId="0" xfId="0" applyFont="1" applyFill="1" applyBorder="1" applyAlignment="1">
      <alignment horizontal="center"/>
    </xf>
    <xf numFmtId="0" fontId="91" fillId="0" borderId="0" xfId="0" applyFont="1" applyFill="1" applyBorder="1" applyAlignment="1">
      <alignment/>
    </xf>
    <xf numFmtId="0" fontId="113" fillId="0" borderId="0" xfId="0" applyFont="1" applyFill="1" applyBorder="1" applyAlignment="1">
      <alignment horizontal="left"/>
    </xf>
    <xf numFmtId="3" fontId="91" fillId="0" borderId="0" xfId="0" applyNumberFormat="1" applyFont="1" applyFill="1" applyBorder="1" applyAlignment="1">
      <alignment horizontal="center"/>
    </xf>
    <xf numFmtId="9" fontId="91" fillId="0" borderId="0" xfId="0" applyNumberFormat="1" applyFont="1" applyFill="1" applyBorder="1" applyAlignment="1">
      <alignment horizontal="center"/>
    </xf>
    <xf numFmtId="0" fontId="94" fillId="0" borderId="0" xfId="0" applyFont="1" applyFill="1" applyBorder="1" applyAlignment="1">
      <alignment horizontal="left"/>
    </xf>
    <xf numFmtId="3" fontId="91" fillId="0" borderId="0" xfId="0" applyNumberFormat="1" applyFont="1" applyFill="1" applyBorder="1" applyAlignment="1">
      <alignment horizontal="right"/>
    </xf>
    <xf numFmtId="4" fontId="91" fillId="0" borderId="0" xfId="0" applyNumberFormat="1" applyFont="1" applyFill="1" applyBorder="1" applyAlignment="1">
      <alignment horizontal="center"/>
    </xf>
    <xf numFmtId="0" fontId="94" fillId="0" borderId="0" xfId="0" applyFont="1" applyFill="1" applyBorder="1" applyAlignment="1">
      <alignment horizontal="center"/>
    </xf>
    <xf numFmtId="0" fontId="94" fillId="0" borderId="0" xfId="0" applyFont="1" applyFill="1" applyBorder="1" applyAlignment="1">
      <alignment horizontal="right"/>
    </xf>
    <xf numFmtId="3" fontId="91" fillId="0" borderId="0" xfId="0" applyNumberFormat="1" applyFont="1" applyFill="1" applyBorder="1" applyAlignment="1" applyProtection="1">
      <alignment horizontal="center"/>
      <protection hidden="1" locked="0"/>
    </xf>
    <xf numFmtId="165" fontId="91" fillId="0" borderId="0" xfId="0" applyNumberFormat="1" applyFont="1" applyFill="1" applyBorder="1" applyAlignment="1" applyProtection="1">
      <alignment horizontal="center"/>
      <protection hidden="1" locked="0"/>
    </xf>
    <xf numFmtId="0" fontId="91" fillId="0" borderId="0" xfId="0" applyFont="1" applyFill="1" applyBorder="1" applyAlignment="1">
      <alignment/>
    </xf>
    <xf numFmtId="0" fontId="135" fillId="0" borderId="0" xfId="0" applyFont="1" applyFill="1" applyBorder="1" applyAlignment="1">
      <alignment horizontal="left" vertical="center"/>
    </xf>
    <xf numFmtId="4" fontId="91" fillId="0" borderId="0" xfId="0" applyNumberFormat="1" applyFont="1" applyFill="1" applyBorder="1" applyAlignment="1">
      <alignment horizontal="center"/>
    </xf>
    <xf numFmtId="0" fontId="91" fillId="0" borderId="0" xfId="0" applyFont="1" applyFill="1" applyBorder="1" applyAlignment="1">
      <alignment horizontal="right"/>
    </xf>
    <xf numFmtId="4" fontId="94" fillId="0" borderId="0" xfId="0" applyNumberFormat="1" applyFont="1" applyFill="1" applyBorder="1" applyAlignment="1">
      <alignment horizontal="center"/>
    </xf>
    <xf numFmtId="0" fontId="91" fillId="0" borderId="0" xfId="0" applyFont="1" applyFill="1" applyBorder="1" applyAlignment="1">
      <alignment horizontal="center"/>
    </xf>
    <xf numFmtId="0" fontId="91" fillId="0" borderId="0" xfId="0" applyFont="1" applyFill="1" applyBorder="1" applyAlignment="1" applyProtection="1">
      <alignment/>
      <protection hidden="1" locked="0"/>
    </xf>
    <xf numFmtId="0" fontId="91" fillId="0" borderId="0" xfId="0" applyFont="1" applyFill="1" applyBorder="1" applyAlignment="1">
      <alignment horizontal="center" vertical="center"/>
    </xf>
    <xf numFmtId="3" fontId="5" fillId="49" borderId="18" xfId="0" applyNumberFormat="1" applyFont="1" applyFill="1" applyBorder="1" applyAlignment="1" applyProtection="1">
      <alignment horizontal="center" vertical="center"/>
      <protection hidden="1" locked="0"/>
    </xf>
    <xf numFmtId="3" fontId="94" fillId="0" borderId="0" xfId="0" applyNumberFormat="1" applyFont="1" applyFill="1" applyAlignment="1" applyProtection="1">
      <alignment horizontal="center"/>
      <protection hidden="1" locked="0"/>
    </xf>
    <xf numFmtId="0" fontId="94" fillId="0" borderId="0" xfId="0" applyFont="1" applyAlignment="1" applyProtection="1">
      <alignment horizontal="center"/>
      <protection hidden="1" locked="0"/>
    </xf>
    <xf numFmtId="3" fontId="91" fillId="0" borderId="0" xfId="0" applyNumberFormat="1" applyFont="1" applyFill="1" applyAlignment="1" applyProtection="1">
      <alignment horizontal="center"/>
      <protection hidden="1" locked="0"/>
    </xf>
    <xf numFmtId="0" fontId="91" fillId="0" borderId="0" xfId="0" applyFont="1" applyAlignment="1" applyProtection="1">
      <alignment horizontal="center"/>
      <protection hidden="1" locked="0"/>
    </xf>
    <xf numFmtId="3" fontId="91" fillId="0" borderId="0" xfId="0" applyNumberFormat="1" applyFont="1" applyFill="1" applyBorder="1" applyAlignment="1" applyProtection="1">
      <alignment horizontal="center"/>
      <protection hidden="1" locked="0"/>
    </xf>
    <xf numFmtId="3" fontId="113" fillId="0" borderId="0" xfId="0" applyNumberFormat="1" applyFont="1" applyFill="1" applyBorder="1" applyAlignment="1" applyProtection="1">
      <alignment horizontal="center"/>
      <protection hidden="1" locked="0"/>
    </xf>
    <xf numFmtId="165" fontId="91" fillId="0" borderId="0" xfId="0" applyNumberFormat="1" applyFont="1" applyFill="1" applyBorder="1" applyAlignment="1" applyProtection="1">
      <alignment horizontal="center"/>
      <protection hidden="1" locked="0"/>
    </xf>
    <xf numFmtId="165" fontId="91" fillId="0" borderId="0" xfId="0" applyNumberFormat="1" applyFont="1" applyFill="1" applyBorder="1" applyAlignment="1" applyProtection="1">
      <alignment horizontal="center" vertical="center"/>
      <protection hidden="1" locked="0"/>
    </xf>
    <xf numFmtId="0" fontId="91" fillId="0" borderId="0" xfId="0" applyFont="1" applyFill="1" applyBorder="1" applyAlignment="1" applyProtection="1">
      <alignment horizontal="center" vertical="center"/>
      <protection hidden="1" locked="0"/>
    </xf>
    <xf numFmtId="165" fontId="94" fillId="0" borderId="0" xfId="0" applyNumberFormat="1" applyFont="1" applyFill="1" applyBorder="1" applyAlignment="1" applyProtection="1">
      <alignment horizontal="center"/>
      <protection hidden="1" locked="0"/>
    </xf>
    <xf numFmtId="3" fontId="94" fillId="0" borderId="0" xfId="0" applyNumberFormat="1" applyFont="1" applyFill="1" applyBorder="1" applyAlignment="1" applyProtection="1">
      <alignment horizontal="center"/>
      <protection hidden="1" locked="0"/>
    </xf>
    <xf numFmtId="165" fontId="2" fillId="0" borderId="23" xfId="0" applyNumberFormat="1" applyFont="1" applyBorder="1" applyAlignment="1" applyProtection="1">
      <alignment horizontal="left" vertical="center" wrapText="1"/>
      <protection hidden="1" locked="0"/>
    </xf>
    <xf numFmtId="0" fontId="0" fillId="0" borderId="23" xfId="0" applyBorder="1" applyAlignment="1" applyProtection="1">
      <alignment wrapText="1"/>
      <protection hidden="1" locked="0"/>
    </xf>
    <xf numFmtId="0" fontId="5" fillId="0" borderId="21" xfId="0" applyFont="1" applyFill="1" applyBorder="1" applyAlignment="1" applyProtection="1">
      <alignment horizontal="left" vertical="center" wrapText="1"/>
      <protection hidden="1" locked="0"/>
    </xf>
    <xf numFmtId="3" fontId="5" fillId="0" borderId="38" xfId="0" applyNumberFormat="1" applyFont="1" applyFill="1" applyBorder="1" applyAlignment="1" applyProtection="1">
      <alignment horizontal="center"/>
      <protection/>
    </xf>
    <xf numFmtId="3" fontId="5" fillId="0" borderId="15" xfId="0" applyNumberFormat="1" applyFont="1" applyFill="1" applyBorder="1" applyAlignment="1" applyProtection="1">
      <alignment horizontal="center"/>
      <protection/>
    </xf>
    <xf numFmtId="9" fontId="5" fillId="40" borderId="24" xfId="0" applyNumberFormat="1" applyFont="1" applyFill="1" applyBorder="1" applyAlignment="1" applyProtection="1">
      <alignment horizontal="center"/>
      <protection hidden="1" locked="0"/>
    </xf>
    <xf numFmtId="0" fontId="0" fillId="40" borderId="24" xfId="0" applyFill="1" applyBorder="1" applyAlignment="1" applyProtection="1">
      <alignment horizontal="center"/>
      <protection hidden="1" locked="0"/>
    </xf>
    <xf numFmtId="9" fontId="2" fillId="49" borderId="22" xfId="0" applyNumberFormat="1" applyFont="1" applyFill="1" applyBorder="1" applyAlignment="1" applyProtection="1">
      <alignment horizontal="center" vertical="center"/>
      <protection hidden="1" locked="0"/>
    </xf>
    <xf numFmtId="165" fontId="5" fillId="49" borderId="18" xfId="0" applyNumberFormat="1" applyFont="1" applyFill="1" applyBorder="1" applyAlignment="1" applyProtection="1">
      <alignment horizontal="center" vertical="center"/>
      <protection hidden="1" locked="0"/>
    </xf>
    <xf numFmtId="9" fontId="5" fillId="49" borderId="18" xfId="0" applyNumberFormat="1" applyFont="1" applyFill="1" applyBorder="1" applyAlignment="1" applyProtection="1">
      <alignment horizontal="center" vertical="center"/>
      <protection hidden="1" locked="0"/>
    </xf>
    <xf numFmtId="0" fontId="0" fillId="0" borderId="27" xfId="0" applyBorder="1" applyAlignment="1" applyProtection="1">
      <alignment horizontal="left" vertical="center" wrapText="1"/>
      <protection hidden="1" locked="0"/>
    </xf>
    <xf numFmtId="0" fontId="0" fillId="0" borderId="16" xfId="0" applyBorder="1" applyAlignment="1" applyProtection="1">
      <alignment horizontal="left" vertical="center" wrapText="1"/>
      <protection hidden="1" locked="0"/>
    </xf>
    <xf numFmtId="0" fontId="0" fillId="0" borderId="31" xfId="0" applyBorder="1" applyAlignment="1" applyProtection="1">
      <alignment wrapText="1"/>
      <protection hidden="1" locked="0"/>
    </xf>
    <xf numFmtId="0" fontId="0" fillId="0" borderId="17" xfId="0" applyBorder="1" applyAlignment="1" applyProtection="1">
      <alignment wrapText="1"/>
      <protection hidden="1" locked="0"/>
    </xf>
    <xf numFmtId="3" fontId="5" fillId="0" borderId="39" xfId="0" applyNumberFormat="1" applyFont="1" applyFill="1" applyBorder="1" applyAlignment="1" applyProtection="1">
      <alignment horizontal="center" vertical="center" wrapText="1"/>
      <protection hidden="1" locked="0"/>
    </xf>
    <xf numFmtId="0" fontId="0" fillId="0" borderId="40" xfId="0" applyBorder="1" applyAlignment="1" applyProtection="1">
      <alignment vertical="center" wrapText="1"/>
      <protection hidden="1" locked="0"/>
    </xf>
    <xf numFmtId="3" fontId="5" fillId="0" borderId="41" xfId="0" applyNumberFormat="1" applyFont="1" applyFill="1" applyBorder="1" applyAlignment="1" applyProtection="1">
      <alignment horizontal="center" vertical="center" wrapText="1"/>
      <protection hidden="1" locked="0"/>
    </xf>
    <xf numFmtId="0" fontId="0" fillId="0" borderId="42" xfId="0" applyBorder="1" applyAlignment="1" applyProtection="1">
      <alignment vertical="center" wrapText="1"/>
      <protection hidden="1" locked="0"/>
    </xf>
    <xf numFmtId="0" fontId="0" fillId="0" borderId="43" xfId="0" applyBorder="1" applyAlignment="1" applyProtection="1">
      <alignment vertical="center" wrapText="1"/>
      <protection hidden="1" locked="0"/>
    </xf>
    <xf numFmtId="0" fontId="0" fillId="0" borderId="44" xfId="0" applyBorder="1" applyAlignment="1" applyProtection="1">
      <alignment vertical="center" wrapText="1"/>
      <protection hidden="1" locked="0"/>
    </xf>
    <xf numFmtId="0" fontId="0" fillId="0" borderId="45" xfId="0" applyBorder="1" applyAlignment="1" applyProtection="1">
      <alignment vertical="center" wrapText="1"/>
      <protection hidden="1" locked="0"/>
    </xf>
    <xf numFmtId="0" fontId="0" fillId="0" borderId="46" xfId="0" applyBorder="1" applyAlignment="1" applyProtection="1">
      <alignment vertical="center" wrapText="1"/>
      <protection hidden="1" locked="0"/>
    </xf>
    <xf numFmtId="0" fontId="8" fillId="0" borderId="0" xfId="0" applyFont="1" applyAlignment="1" applyProtection="1">
      <alignment horizontal="left" textRotation="180"/>
      <protection hidden="1" locked="0"/>
    </xf>
    <xf numFmtId="0" fontId="8" fillId="0" borderId="0" xfId="0" applyFont="1" applyAlignment="1" applyProtection="1">
      <alignment textRotation="90"/>
      <protection hidden="1" locked="0"/>
    </xf>
    <xf numFmtId="0" fontId="112" fillId="0" borderId="0" xfId="0" applyFont="1" applyAlignment="1" applyProtection="1">
      <alignment textRotation="90"/>
      <protection hidden="1" locked="0"/>
    </xf>
    <xf numFmtId="0" fontId="5" fillId="49" borderId="18" xfId="0" applyFont="1" applyFill="1" applyBorder="1" applyAlignment="1" applyProtection="1">
      <alignment horizontal="center" vertical="center"/>
      <protection hidden="1" locked="0"/>
    </xf>
    <xf numFmtId="0" fontId="113" fillId="0" borderId="0" xfId="0" applyFont="1" applyFill="1" applyBorder="1" applyAlignment="1" applyProtection="1">
      <alignment horizontal="center"/>
      <protection hidden="1" locked="0"/>
    </xf>
    <xf numFmtId="0" fontId="6" fillId="36" borderId="17" xfId="0" applyFont="1" applyFill="1" applyBorder="1" applyAlignment="1" applyProtection="1">
      <alignment horizontal="left" vertical="center"/>
      <protection hidden="1" locked="0"/>
    </xf>
    <xf numFmtId="0" fontId="0" fillId="0" borderId="0" xfId="0" applyBorder="1" applyAlignment="1" applyProtection="1">
      <alignment horizontal="left" vertical="center"/>
      <protection hidden="1" locked="0"/>
    </xf>
    <xf numFmtId="0" fontId="0" fillId="0" borderId="17" xfId="0" applyBorder="1" applyAlignment="1" applyProtection="1">
      <alignment horizontal="left" vertical="center"/>
      <protection hidden="1" locked="0"/>
    </xf>
    <xf numFmtId="3" fontId="5" fillId="50" borderId="18" xfId="0" applyNumberFormat="1" applyFont="1" applyFill="1" applyBorder="1" applyAlignment="1" applyProtection="1">
      <alignment horizontal="center" vertical="center" wrapText="1"/>
      <protection hidden="1" locked="0"/>
    </xf>
    <xf numFmtId="0" fontId="5" fillId="50" borderId="18" xfId="0" applyFont="1" applyFill="1" applyBorder="1" applyAlignment="1" applyProtection="1">
      <alignment horizontal="center" vertical="center" wrapText="1"/>
      <protection hidden="1" locked="0"/>
    </xf>
    <xf numFmtId="165" fontId="5" fillId="50" borderId="22" xfId="0" applyNumberFormat="1" applyFont="1" applyFill="1" applyBorder="1" applyAlignment="1" applyProtection="1">
      <alignment horizontal="center" vertical="center" wrapText="1"/>
      <protection hidden="1" locked="0"/>
    </xf>
    <xf numFmtId="0" fontId="5" fillId="39" borderId="0" xfId="0" applyFont="1" applyFill="1" applyBorder="1" applyAlignment="1" applyProtection="1">
      <alignment horizontal="center" vertical="center"/>
      <protection hidden="1" locked="0"/>
    </xf>
    <xf numFmtId="0" fontId="5" fillId="0" borderId="38" xfId="0" applyFont="1" applyFill="1" applyBorder="1" applyAlignment="1" applyProtection="1">
      <alignment horizontal="center" vertical="center" wrapText="1"/>
      <protection hidden="1" locked="0"/>
    </xf>
    <xf numFmtId="0" fontId="5" fillId="0" borderId="15" xfId="0" applyFont="1" applyFill="1" applyBorder="1" applyAlignment="1" applyProtection="1">
      <alignment horizontal="center" vertical="center" wrapText="1"/>
      <protection hidden="1" locked="0"/>
    </xf>
    <xf numFmtId="0" fontId="91" fillId="0" borderId="0" xfId="0" applyFont="1" applyFill="1" applyAlignment="1" applyProtection="1">
      <alignment horizontal="center"/>
      <protection hidden="1" locked="0"/>
    </xf>
    <xf numFmtId="0" fontId="142" fillId="0" borderId="0" xfId="0" applyFont="1" applyFill="1" applyBorder="1" applyAlignment="1" applyProtection="1">
      <alignment horizontal="left" wrapText="1"/>
      <protection hidden="1" locked="0"/>
    </xf>
    <xf numFmtId="0" fontId="15" fillId="0" borderId="23" xfId="0" applyFont="1" applyFill="1" applyBorder="1" applyAlignment="1" applyProtection="1">
      <alignment horizontal="left" vertical="center" wrapText="1"/>
      <protection hidden="1" locked="0"/>
    </xf>
    <xf numFmtId="0" fontId="113" fillId="37" borderId="24" xfId="0" applyFont="1" applyFill="1" applyBorder="1" applyAlignment="1" applyProtection="1">
      <alignment horizontal="left" wrapText="1"/>
      <protection hidden="1" locked="0"/>
    </xf>
    <xf numFmtId="0" fontId="113" fillId="37" borderId="23" xfId="0" applyFont="1" applyFill="1" applyBorder="1" applyAlignment="1" applyProtection="1">
      <alignment horizontal="left" wrapText="1"/>
      <protection hidden="1" locked="0"/>
    </xf>
    <xf numFmtId="0" fontId="0" fillId="0" borderId="17" xfId="0" applyBorder="1" applyAlignment="1" applyProtection="1">
      <alignment horizontal="left" vertical="center" wrapText="1"/>
      <protection hidden="1" locked="0"/>
    </xf>
    <xf numFmtId="0" fontId="0" fillId="0" borderId="21" xfId="0" applyBorder="1" applyAlignment="1" applyProtection="1">
      <alignment horizontal="left" vertical="center" wrapText="1"/>
      <protection hidden="1" locked="0"/>
    </xf>
    <xf numFmtId="0" fontId="5" fillId="0" borderId="22" xfId="0" applyFont="1" applyBorder="1" applyAlignment="1" applyProtection="1">
      <alignment horizontal="left" vertical="center" wrapText="1"/>
      <protection hidden="1" locked="0"/>
    </xf>
    <xf numFmtId="9" fontId="5" fillId="0" borderId="38" xfId="0" applyNumberFormat="1" applyFont="1" applyFill="1" applyBorder="1" applyAlignment="1" applyProtection="1">
      <alignment horizontal="center" vertical="center" wrapText="1"/>
      <protection hidden="1" locked="0"/>
    </xf>
    <xf numFmtId="9" fontId="5" fillId="0" borderId="15" xfId="0" applyNumberFormat="1" applyFont="1" applyFill="1" applyBorder="1" applyAlignment="1" applyProtection="1">
      <alignment horizontal="center" vertical="center" wrapText="1"/>
      <protection hidden="1" locked="0"/>
    </xf>
    <xf numFmtId="165" fontId="5" fillId="49" borderId="22" xfId="0" applyNumberFormat="1" applyFont="1" applyFill="1" applyBorder="1" applyAlignment="1" applyProtection="1">
      <alignment horizontal="center" vertical="center"/>
      <protection hidden="1" locked="0"/>
    </xf>
    <xf numFmtId="0" fontId="5" fillId="0" borderId="45" xfId="0" applyFont="1" applyFill="1" applyBorder="1" applyAlignment="1" applyProtection="1">
      <alignment horizontal="center" vertical="center"/>
      <protection hidden="1" locked="0"/>
    </xf>
    <xf numFmtId="170" fontId="5" fillId="0" borderId="47" xfId="0" applyNumberFormat="1" applyFont="1" applyFill="1" applyBorder="1" applyAlignment="1" applyProtection="1">
      <alignment horizontal="center"/>
      <protection hidden="1" locked="0"/>
    </xf>
    <xf numFmtId="170" fontId="5" fillId="0" borderId="48" xfId="0" applyNumberFormat="1" applyFont="1" applyFill="1" applyBorder="1" applyAlignment="1" applyProtection="1">
      <alignment horizontal="center"/>
      <protection hidden="1" locked="0"/>
    </xf>
    <xf numFmtId="3" fontId="5" fillId="0" borderId="38" xfId="0" applyNumberFormat="1" applyFont="1" applyFill="1" applyBorder="1" applyAlignment="1" applyProtection="1">
      <alignment horizontal="center"/>
      <protection hidden="1" locked="0"/>
    </xf>
    <xf numFmtId="3" fontId="5" fillId="0" borderId="49" xfId="0" applyNumberFormat="1" applyFont="1" applyFill="1" applyBorder="1" applyAlignment="1" applyProtection="1">
      <alignment horizontal="center"/>
      <protection hidden="1" locked="0"/>
    </xf>
    <xf numFmtId="0" fontId="5" fillId="0" borderId="38" xfId="0" applyFont="1" applyFill="1" applyBorder="1" applyAlignment="1" applyProtection="1">
      <alignment horizontal="center" vertical="center"/>
      <protection hidden="1" locked="0"/>
    </xf>
    <xf numFmtId="0" fontId="5" fillId="0" borderId="15" xfId="0" applyFont="1" applyFill="1" applyBorder="1" applyAlignment="1" applyProtection="1">
      <alignment horizontal="center" vertical="center"/>
      <protection hidden="1" locked="0"/>
    </xf>
    <xf numFmtId="3" fontId="5" fillId="0" borderId="15" xfId="0" applyNumberFormat="1" applyFont="1" applyFill="1" applyBorder="1" applyAlignment="1" applyProtection="1">
      <alignment horizontal="center"/>
      <protection hidden="1" locked="0"/>
    </xf>
    <xf numFmtId="4" fontId="99" fillId="50" borderId="22" xfId="0" applyNumberFormat="1" applyFont="1" applyFill="1" applyBorder="1" applyAlignment="1" applyProtection="1">
      <alignment horizontal="center" vertical="center"/>
      <protection hidden="1" locked="0"/>
    </xf>
    <xf numFmtId="0" fontId="0" fillId="0" borderId="22" xfId="0" applyBorder="1" applyAlignment="1">
      <alignment horizontal="center" vertical="center"/>
    </xf>
    <xf numFmtId="0" fontId="5" fillId="0" borderId="21" xfId="0" applyFont="1" applyBorder="1" applyAlignment="1" applyProtection="1">
      <alignment horizontal="left" vertical="center" wrapText="1"/>
      <protection hidden="1" locked="0"/>
    </xf>
    <xf numFmtId="0" fontId="5" fillId="0" borderId="50" xfId="0" applyFont="1" applyBorder="1" applyAlignment="1" applyProtection="1">
      <alignment horizontal="left" vertical="center" wrapText="1"/>
      <protection hidden="1" locked="0"/>
    </xf>
    <xf numFmtId="0" fontId="5" fillId="0" borderId="17" xfId="0" applyFont="1" applyFill="1" applyBorder="1" applyAlignment="1" applyProtection="1">
      <alignment horizontal="left" vertical="center" wrapText="1"/>
      <protection hidden="1" locked="0"/>
    </xf>
    <xf numFmtId="0" fontId="5" fillId="0" borderId="22" xfId="0" applyFont="1" applyFill="1" applyBorder="1" applyAlignment="1" applyProtection="1">
      <alignment horizontal="left" vertical="center" wrapText="1"/>
      <protection hidden="1" locked="0"/>
    </xf>
    <xf numFmtId="165" fontId="6" fillId="50" borderId="18" xfId="0" applyNumberFormat="1" applyFont="1" applyFill="1" applyBorder="1" applyAlignment="1" applyProtection="1">
      <alignment horizontal="center" vertical="center" wrapText="1"/>
      <protection hidden="1" locked="0"/>
    </xf>
    <xf numFmtId="0" fontId="6" fillId="50" borderId="18" xfId="0" applyFont="1" applyFill="1" applyBorder="1" applyAlignment="1" applyProtection="1">
      <alignment horizontal="center" vertical="center" wrapText="1"/>
      <protection hidden="1" locked="0"/>
    </xf>
    <xf numFmtId="0" fontId="5" fillId="0" borderId="23" xfId="0" applyFont="1" applyBorder="1" applyAlignment="1" applyProtection="1">
      <alignment horizontal="left" vertical="center" wrapText="1"/>
      <protection hidden="1" locked="0"/>
    </xf>
    <xf numFmtId="3" fontId="5" fillId="0" borderId="41" xfId="0" applyNumberFormat="1"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0" fillId="0" borderId="21" xfId="0" applyFill="1" applyBorder="1" applyAlignment="1" applyProtection="1">
      <alignment horizontal="left" vertical="center" wrapText="1"/>
      <protection hidden="1" locked="0"/>
    </xf>
    <xf numFmtId="1" fontId="5" fillId="50" borderId="18" xfId="0" applyNumberFormat="1" applyFont="1" applyFill="1" applyBorder="1" applyAlignment="1" applyProtection="1">
      <alignment horizontal="center" vertical="center" wrapText="1"/>
      <protection hidden="1" locked="0"/>
    </xf>
    <xf numFmtId="6" fontId="5" fillId="50" borderId="18" xfId="0" applyNumberFormat="1" applyFont="1" applyFill="1" applyBorder="1" applyAlignment="1" applyProtection="1">
      <alignment horizontal="center" vertical="center" wrapText="1"/>
      <protection hidden="1" locked="0"/>
    </xf>
    <xf numFmtId="167" fontId="5" fillId="50" borderId="18" xfId="0" applyNumberFormat="1" applyFont="1" applyFill="1" applyBorder="1" applyAlignment="1" applyProtection="1">
      <alignment horizontal="center" vertical="center" wrapText="1"/>
      <protection hidden="1" locked="0"/>
    </xf>
    <xf numFmtId="0" fontId="143" fillId="50" borderId="22" xfId="0" applyFont="1" applyFill="1" applyBorder="1" applyAlignment="1" applyProtection="1">
      <alignment horizontal="center" vertical="center" wrapText="1"/>
      <protection hidden="1" locked="0"/>
    </xf>
    <xf numFmtId="165" fontId="6" fillId="49" borderId="18" xfId="0" applyNumberFormat="1" applyFont="1" applyFill="1" applyBorder="1" applyAlignment="1" applyProtection="1">
      <alignment horizontal="center" vertical="center"/>
      <protection hidden="1" locked="0"/>
    </xf>
    <xf numFmtId="165" fontId="82" fillId="49" borderId="18" xfId="0" applyNumberFormat="1" applyFont="1" applyFill="1" applyBorder="1" applyAlignment="1" applyProtection="1">
      <alignment horizontal="center" vertical="center"/>
      <protection hidden="1" locked="0"/>
    </xf>
    <xf numFmtId="9" fontId="82" fillId="49" borderId="18" xfId="0" applyNumberFormat="1" applyFont="1" applyFill="1" applyBorder="1" applyAlignment="1" applyProtection="1">
      <alignment horizontal="center" vertical="center"/>
      <protection hidden="1" locked="0"/>
    </xf>
    <xf numFmtId="0" fontId="0" fillId="0" borderId="0" xfId="0" applyBorder="1" applyAlignment="1" applyProtection="1">
      <alignment horizontal="left"/>
      <protection hidden="1" locked="0"/>
    </xf>
    <xf numFmtId="0" fontId="0" fillId="0" borderId="17" xfId="0" applyBorder="1" applyAlignment="1" applyProtection="1">
      <alignment horizontal="left"/>
      <protection hidden="1" locked="0"/>
    </xf>
    <xf numFmtId="165" fontId="5" fillId="50" borderId="18" xfId="0" applyNumberFormat="1" applyFont="1" applyFill="1" applyBorder="1" applyAlignment="1" applyProtection="1">
      <alignment horizontal="center" vertical="center" wrapText="1"/>
      <protection hidden="1" locked="0"/>
    </xf>
    <xf numFmtId="0" fontId="82" fillId="49" borderId="18" xfId="0" applyFont="1" applyFill="1" applyBorder="1" applyAlignment="1" applyProtection="1">
      <alignment horizontal="center" vertical="center"/>
      <protection hidden="1" locked="0"/>
    </xf>
    <xf numFmtId="169" fontId="5" fillId="49" borderId="18" xfId="0" applyNumberFormat="1" applyFont="1" applyFill="1" applyBorder="1" applyAlignment="1" applyProtection="1">
      <alignment horizontal="center" vertical="center"/>
      <protection hidden="1" locked="0"/>
    </xf>
    <xf numFmtId="0" fontId="6" fillId="49" borderId="18" xfId="0" applyFont="1" applyFill="1" applyBorder="1" applyAlignment="1" applyProtection="1">
      <alignment horizontal="center" vertical="center"/>
      <protection hidden="1" locked="0"/>
    </xf>
    <xf numFmtId="1" fontId="5" fillId="49" borderId="18" xfId="0" applyNumberFormat="1" applyFont="1" applyFill="1" applyBorder="1" applyAlignment="1" applyProtection="1">
      <alignment horizontal="center" vertical="center"/>
      <protection/>
    </xf>
    <xf numFmtId="0" fontId="112" fillId="35" borderId="23" xfId="0" applyFont="1" applyFill="1" applyBorder="1" applyAlignment="1" applyProtection="1">
      <alignment horizontal="center" vertical="center" wrapText="1"/>
      <protection hidden="1" locked="0"/>
    </xf>
    <xf numFmtId="0" fontId="112" fillId="35" borderId="0" xfId="0" applyFont="1" applyFill="1" applyBorder="1" applyAlignment="1" applyProtection="1">
      <alignment horizontal="center" vertical="center" wrapText="1"/>
      <protection hidden="1" locked="0"/>
    </xf>
    <xf numFmtId="0" fontId="112" fillId="35" borderId="17" xfId="0" applyFont="1" applyFill="1" applyBorder="1" applyAlignment="1" applyProtection="1">
      <alignment horizontal="center" vertical="center" wrapText="1"/>
      <protection hidden="1" locked="0"/>
    </xf>
    <xf numFmtId="3" fontId="144" fillId="35" borderId="23" xfId="0" applyNumberFormat="1" applyFont="1" applyFill="1" applyBorder="1" applyAlignment="1" applyProtection="1">
      <alignment horizontal="center" vertical="center" wrapText="1"/>
      <protection hidden="1" locked="0"/>
    </xf>
    <xf numFmtId="0" fontId="144" fillId="35" borderId="23" xfId="0" applyFont="1" applyFill="1" applyBorder="1" applyAlignment="1" applyProtection="1">
      <alignment horizontal="center" vertical="center" wrapText="1"/>
      <protection hidden="1" locked="0"/>
    </xf>
    <xf numFmtId="0" fontId="144" fillId="35" borderId="0" xfId="0" applyFont="1" applyFill="1" applyBorder="1" applyAlignment="1" applyProtection="1">
      <alignment horizontal="center" vertical="center" wrapText="1"/>
      <protection hidden="1" locked="0"/>
    </xf>
    <xf numFmtId="0" fontId="144" fillId="35" borderId="17" xfId="0" applyFont="1" applyFill="1" applyBorder="1" applyAlignment="1" applyProtection="1">
      <alignment horizontal="center" vertical="center" wrapText="1"/>
      <protection hidden="1" locked="0"/>
    </xf>
    <xf numFmtId="168" fontId="5" fillId="50" borderId="18" xfId="0" applyNumberFormat="1" applyFont="1" applyFill="1" applyBorder="1" applyAlignment="1" applyProtection="1">
      <alignment horizontal="center" vertical="center" wrapText="1"/>
      <protection hidden="1" locked="0"/>
    </xf>
    <xf numFmtId="168" fontId="99" fillId="50" borderId="18" xfId="0" applyNumberFormat="1" applyFont="1" applyFill="1" applyBorder="1" applyAlignment="1" applyProtection="1">
      <alignment horizontal="center" vertical="center" wrapText="1"/>
      <protection hidden="1" locked="0"/>
    </xf>
    <xf numFmtId="0" fontId="99" fillId="50" borderId="18" xfId="0" applyFont="1" applyFill="1" applyBorder="1" applyAlignment="1" applyProtection="1">
      <alignment horizontal="center" vertical="center" wrapText="1"/>
      <protection hidden="1" locked="0"/>
    </xf>
    <xf numFmtId="3" fontId="5" fillId="49" borderId="22" xfId="0" applyNumberFormat="1" applyFont="1" applyFill="1" applyBorder="1" applyAlignment="1" applyProtection="1">
      <alignment horizontal="center" vertical="center"/>
      <protection locked="0"/>
    </xf>
    <xf numFmtId="0" fontId="0" fillId="0" borderId="27" xfId="0" applyBorder="1" applyAlignment="1" applyProtection="1">
      <alignment vertical="top" wrapText="1"/>
      <protection hidden="1" locked="0"/>
    </xf>
    <xf numFmtId="0" fontId="0" fillId="0" borderId="28" xfId="0" applyBorder="1" applyAlignment="1" applyProtection="1">
      <alignment vertical="top" wrapText="1"/>
      <protection hidden="1" locked="0"/>
    </xf>
    <xf numFmtId="0" fontId="0" fillId="0" borderId="29" xfId="0" applyBorder="1" applyAlignment="1" applyProtection="1">
      <alignment vertical="top" wrapText="1"/>
      <protection hidden="1" locked="0"/>
    </xf>
    <xf numFmtId="0" fontId="0" fillId="0" borderId="30" xfId="0" applyBorder="1" applyAlignment="1" applyProtection="1">
      <alignment vertical="top" wrapText="1"/>
      <protection hidden="1" locked="0"/>
    </xf>
    <xf numFmtId="0" fontId="0" fillId="0" borderId="31" xfId="0" applyBorder="1" applyAlignment="1" applyProtection="1">
      <alignment vertical="top" wrapText="1"/>
      <protection hidden="1" locked="0"/>
    </xf>
    <xf numFmtId="0" fontId="0" fillId="0" borderId="32" xfId="0" applyBorder="1" applyAlignment="1" applyProtection="1">
      <alignment vertical="top" wrapText="1"/>
      <protection hidden="1" locked="0"/>
    </xf>
    <xf numFmtId="0" fontId="113" fillId="48" borderId="16" xfId="0" applyFont="1" applyFill="1" applyBorder="1" applyAlignment="1" applyProtection="1">
      <alignment horizontal="left" vertical="center" wrapText="1"/>
      <protection hidden="1" locked="0"/>
    </xf>
    <xf numFmtId="0" fontId="113" fillId="48" borderId="21" xfId="0" applyFont="1" applyFill="1" applyBorder="1" applyAlignment="1" applyProtection="1">
      <alignment horizontal="left" vertical="center"/>
      <protection hidden="1" locked="0"/>
    </xf>
    <xf numFmtId="0" fontId="113" fillId="48" borderId="34" xfId="0" applyFont="1" applyFill="1" applyBorder="1" applyAlignment="1" applyProtection="1">
      <alignment horizontal="left" vertical="center"/>
      <protection hidden="1" locked="0"/>
    </xf>
    <xf numFmtId="0" fontId="113" fillId="48" borderId="21" xfId="0" applyFont="1" applyFill="1" applyBorder="1" applyAlignment="1" applyProtection="1">
      <alignment horizontal="left"/>
      <protection hidden="1" locked="0"/>
    </xf>
    <xf numFmtId="0" fontId="94" fillId="48" borderId="21" xfId="0" applyFont="1" applyFill="1" applyBorder="1" applyAlignment="1" applyProtection="1">
      <alignment horizontal="left"/>
      <protection hidden="1" locked="0"/>
    </xf>
    <xf numFmtId="0" fontId="94" fillId="48" borderId="34" xfId="0" applyFont="1" applyFill="1" applyBorder="1" applyAlignment="1" applyProtection="1">
      <alignment horizontal="left"/>
      <protection hidden="1" locked="0"/>
    </xf>
    <xf numFmtId="0" fontId="113" fillId="48" borderId="0" xfId="0" applyFont="1" applyFill="1" applyBorder="1" applyAlignment="1" applyProtection="1">
      <alignment horizontal="left"/>
      <protection hidden="1" locked="0"/>
    </xf>
    <xf numFmtId="0" fontId="94" fillId="48" borderId="16" xfId="0" applyFont="1" applyFill="1" applyBorder="1" applyAlignment="1" applyProtection="1">
      <alignment horizontal="left" vertical="center" wrapText="1"/>
      <protection hidden="1" locked="0"/>
    </xf>
    <xf numFmtId="0" fontId="0" fillId="0" borderId="16" xfId="0" applyFont="1" applyBorder="1" applyAlignment="1" applyProtection="1">
      <alignment horizontal="left" vertical="center" wrapText="1"/>
      <protection hidden="1" locked="0"/>
    </xf>
    <xf numFmtId="0" fontId="91" fillId="0" borderId="0" xfId="0" applyFont="1" applyFill="1" applyBorder="1" applyAlignment="1">
      <alignment vertical="top" wrapText="1"/>
    </xf>
    <xf numFmtId="0" fontId="91" fillId="0" borderId="0" xfId="0" applyFont="1" applyFill="1" applyBorder="1" applyAlignment="1">
      <alignment wrapText="1"/>
    </xf>
    <xf numFmtId="0" fontId="91" fillId="0" borderId="0" xfId="0" applyFont="1" applyFill="1" applyBorder="1" applyAlignment="1">
      <alignment horizontal="right"/>
    </xf>
    <xf numFmtId="0" fontId="113" fillId="0" borderId="0" xfId="0" applyFont="1" applyFill="1" applyBorder="1" applyAlignment="1">
      <alignment horizontal="left"/>
    </xf>
    <xf numFmtId="0" fontId="91" fillId="0" borderId="0" xfId="0" applyFont="1" applyFill="1" applyBorder="1" applyAlignment="1">
      <alignment horizontal="left"/>
    </xf>
    <xf numFmtId="0" fontId="113" fillId="0" borderId="0" xfId="0" applyFont="1" applyFill="1" applyBorder="1" applyAlignment="1">
      <alignment horizontal="center"/>
    </xf>
    <xf numFmtId="0" fontId="91" fillId="0" borderId="0" xfId="0" applyFont="1" applyFill="1" applyBorder="1" applyAlignment="1">
      <alignment horizontal="center"/>
    </xf>
    <xf numFmtId="0" fontId="91" fillId="0" borderId="0" xfId="0" applyFont="1" applyFill="1" applyBorder="1" applyAlignment="1" applyProtection="1">
      <alignment/>
      <protection hidden="1" locked="0"/>
    </xf>
    <xf numFmtId="0" fontId="91" fillId="0" borderId="0" xfId="0" applyFont="1" applyFill="1" applyBorder="1" applyAlignment="1">
      <alignment/>
    </xf>
    <xf numFmtId="0" fontId="129" fillId="0" borderId="0" xfId="0" applyFont="1" applyFill="1" applyBorder="1" applyAlignment="1">
      <alignment horizontal="left"/>
    </xf>
    <xf numFmtId="0" fontId="113" fillId="0" borderId="0" xfId="0" applyFont="1" applyFill="1" applyBorder="1" applyAlignment="1">
      <alignment horizontal="left"/>
    </xf>
    <xf numFmtId="0" fontId="123" fillId="0" borderId="0" xfId="0" applyFont="1" applyFill="1" applyBorder="1" applyAlignment="1">
      <alignment/>
    </xf>
    <xf numFmtId="0" fontId="113" fillId="0" borderId="0" xfId="0" applyFont="1" applyFill="1" applyBorder="1" applyAlignment="1">
      <alignment/>
    </xf>
    <xf numFmtId="3" fontId="123" fillId="0" borderId="0" xfId="0" applyNumberFormat="1" applyFont="1" applyFill="1" applyBorder="1" applyAlignment="1">
      <alignment horizontal="left" vertical="center"/>
    </xf>
    <xf numFmtId="0" fontId="123" fillId="0" borderId="0" xfId="0" applyFont="1" applyFill="1" applyBorder="1" applyAlignment="1">
      <alignment horizontal="left" vertical="center"/>
    </xf>
    <xf numFmtId="0" fontId="91" fillId="0" borderId="0" xfId="0" applyFont="1" applyFill="1" applyBorder="1" applyAlignment="1">
      <alignment horizontal="left" vertical="center"/>
    </xf>
    <xf numFmtId="3" fontId="120" fillId="0" borderId="0" xfId="0" applyNumberFormat="1" applyFont="1" applyFill="1" applyBorder="1" applyAlignment="1">
      <alignment horizontal="center" vertical="center"/>
    </xf>
    <xf numFmtId="3" fontId="91" fillId="0" borderId="0" xfId="0" applyNumberFormat="1" applyFont="1" applyFill="1" applyBorder="1" applyAlignment="1">
      <alignment horizontal="center" vertical="center"/>
    </xf>
    <xf numFmtId="0" fontId="94" fillId="0" borderId="0" xfId="0" applyFont="1" applyFill="1" applyBorder="1" applyAlignment="1">
      <alignment horizontal="left" vertical="center" wrapText="1"/>
    </xf>
    <xf numFmtId="0" fontId="94" fillId="0" borderId="0" xfId="0" applyFont="1" applyFill="1" applyBorder="1" applyAlignment="1">
      <alignment wrapText="1"/>
    </xf>
    <xf numFmtId="3" fontId="91" fillId="0" borderId="0" xfId="0" applyNumberFormat="1" applyFont="1" applyFill="1" applyBorder="1" applyAlignment="1">
      <alignment/>
    </xf>
    <xf numFmtId="0" fontId="91" fillId="0" borderId="0" xfId="0" applyFont="1" applyFill="1" applyBorder="1" applyAlignment="1">
      <alignment horizontal="left" vertical="top" wrapText="1"/>
    </xf>
    <xf numFmtId="0" fontId="145" fillId="0" borderId="0" xfId="0" applyFont="1" applyFill="1" applyBorder="1" applyAlignment="1">
      <alignment horizontal="center" wrapText="1"/>
    </xf>
    <xf numFmtId="0" fontId="121" fillId="0" borderId="0" xfId="0" applyFont="1" applyFill="1" applyBorder="1" applyAlignment="1">
      <alignment horizontal="center" vertical="center" wrapText="1"/>
    </xf>
    <xf numFmtId="0" fontId="121" fillId="0" borderId="0" xfId="0" applyFont="1" applyFill="1" applyBorder="1" applyAlignment="1">
      <alignment horizontal="center" vertical="center" wrapText="1"/>
    </xf>
    <xf numFmtId="0" fontId="146" fillId="0" borderId="0" xfId="0" applyFont="1" applyFill="1" applyBorder="1" applyAlignment="1">
      <alignment horizontal="center" vertical="center" wrapText="1"/>
    </xf>
    <xf numFmtId="0" fontId="147" fillId="0" borderId="0" xfId="0" applyFont="1" applyFill="1" applyBorder="1" applyAlignment="1">
      <alignment horizontal="center" vertical="center" wrapText="1"/>
    </xf>
    <xf numFmtId="0" fontId="146" fillId="0" borderId="0" xfId="0" applyFont="1" applyFill="1" applyBorder="1" applyAlignment="1">
      <alignment/>
    </xf>
    <xf numFmtId="0" fontId="148" fillId="0" borderId="0" xfId="0" applyFont="1" applyFill="1" applyBorder="1" applyAlignment="1">
      <alignment horizontal="center" vertical="center" wrapText="1"/>
    </xf>
    <xf numFmtId="0" fontId="120" fillId="0" borderId="0" xfId="0" applyFont="1" applyFill="1" applyBorder="1" applyAlignment="1">
      <alignment horizontal="center" vertical="center" wrapText="1"/>
    </xf>
    <xf numFmtId="0" fontId="129" fillId="0" borderId="0" xfId="0" applyFont="1" applyFill="1" applyBorder="1" applyAlignment="1">
      <alignment horizontal="left"/>
    </xf>
    <xf numFmtId="0" fontId="110" fillId="0" borderId="0" xfId="0" applyFont="1" applyFill="1" applyBorder="1" applyAlignment="1">
      <alignment horizontal="left" vertical="center" wrapText="1"/>
    </xf>
    <xf numFmtId="0" fontId="94" fillId="0" borderId="0" xfId="0" applyFont="1" applyFill="1" applyBorder="1" applyAlignment="1">
      <alignment horizontal="left" wrapText="1"/>
    </xf>
    <xf numFmtId="0" fontId="94" fillId="0" borderId="0" xfId="0" applyFont="1" applyFill="1" applyBorder="1" applyAlignment="1">
      <alignment/>
    </xf>
    <xf numFmtId="0" fontId="113" fillId="0" borderId="0" xfId="0" applyFont="1" applyFill="1" applyBorder="1" applyAlignment="1">
      <alignment horizontal="left" vertical="center" wrapText="1"/>
    </xf>
    <xf numFmtId="183" fontId="91" fillId="0" borderId="0" xfId="44" applyNumberFormat="1" applyFont="1" applyFill="1" applyBorder="1" applyAlignment="1">
      <alignment horizontal="center" wrapText="1"/>
    </xf>
    <xf numFmtId="183" fontId="94" fillId="0" borderId="0" xfId="0" applyNumberFormat="1" applyFont="1" applyFill="1" applyBorder="1" applyAlignment="1">
      <alignment horizontal="center" wrapText="1"/>
    </xf>
    <xf numFmtId="0" fontId="94" fillId="0" borderId="0" xfId="0" applyFont="1" applyFill="1" applyBorder="1" applyAlignment="1">
      <alignment horizontal="left" vertical="center"/>
    </xf>
    <xf numFmtId="3" fontId="120" fillId="0" borderId="0" xfId="0" applyNumberFormat="1" applyFont="1" applyFill="1" applyBorder="1" applyAlignment="1">
      <alignment horizontal="center" vertical="center" wrapText="1"/>
    </xf>
    <xf numFmtId="0" fontId="91" fillId="0" borderId="0" xfId="0" applyFont="1" applyFill="1" applyBorder="1" applyAlignment="1">
      <alignment horizontal="center" wrapText="1"/>
    </xf>
    <xf numFmtId="0" fontId="119" fillId="0" borderId="0" xfId="0" applyFont="1" applyFill="1" applyBorder="1" applyAlignment="1">
      <alignment horizontal="center" vertical="center" wrapText="1"/>
    </xf>
    <xf numFmtId="0" fontId="91" fillId="0" borderId="0" xfId="0" applyFont="1" applyFill="1" applyBorder="1" applyAlignment="1">
      <alignment horizontal="left" vertical="center" wrapText="1"/>
    </xf>
    <xf numFmtId="0" fontId="91" fillId="0" borderId="0" xfId="0" applyFont="1" applyFill="1" applyBorder="1" applyAlignment="1">
      <alignment horizontal="left" wrapText="1"/>
    </xf>
    <xf numFmtId="165" fontId="113" fillId="0" borderId="0" xfId="0" applyNumberFormat="1" applyFont="1" applyFill="1" applyBorder="1" applyAlignment="1">
      <alignment horizontal="center" vertical="center"/>
    </xf>
    <xf numFmtId="183" fontId="94" fillId="0" borderId="0" xfId="44" applyNumberFormat="1" applyFont="1" applyFill="1" applyBorder="1" applyAlignment="1">
      <alignment horizontal="center" wrapText="1"/>
    </xf>
    <xf numFmtId="0" fontId="124" fillId="0" borderId="0" xfId="0" applyFont="1" applyFill="1" applyBorder="1" applyAlignment="1">
      <alignment horizontal="left" vertical="center" wrapText="1"/>
    </xf>
    <xf numFmtId="0" fontId="94" fillId="0" borderId="0" xfId="0" applyFont="1" applyFill="1" applyBorder="1" applyAlignment="1">
      <alignment vertical="top"/>
    </xf>
    <xf numFmtId="0" fontId="94" fillId="0" borderId="0" xfId="0" applyFont="1" applyFill="1" applyBorder="1" applyAlignment="1">
      <alignment textRotation="180" wrapText="1"/>
    </xf>
    <xf numFmtId="0" fontId="94" fillId="0" borderId="0" xfId="0" applyFont="1" applyFill="1" applyBorder="1" applyAlignment="1">
      <alignment horizontal="center" vertical="top" wrapText="1"/>
    </xf>
    <xf numFmtId="0" fontId="91" fillId="0" borderId="0" xfId="0" applyFont="1" applyFill="1" applyBorder="1" applyAlignment="1">
      <alignment horizontal="center" vertical="top" wrapText="1"/>
    </xf>
    <xf numFmtId="0" fontId="94" fillId="0" borderId="0" xfId="0" applyFont="1" applyFill="1" applyBorder="1" applyAlignment="1">
      <alignment horizontal="center" wrapText="1"/>
    </xf>
    <xf numFmtId="0" fontId="113" fillId="0" borderId="0" xfId="0" applyFont="1" applyFill="1" applyBorder="1" applyAlignment="1">
      <alignment horizontal="left" vertical="center"/>
    </xf>
    <xf numFmtId="0" fontId="91" fillId="0" borderId="0" xfId="0" applyFont="1" applyFill="1" applyBorder="1" applyAlignment="1">
      <alignment vertical="center"/>
    </xf>
    <xf numFmtId="3" fontId="91" fillId="0" borderId="0" xfId="0" applyNumberFormat="1" applyFont="1" applyFill="1" applyBorder="1" applyAlignment="1">
      <alignment horizontal="center"/>
    </xf>
    <xf numFmtId="9" fontId="91" fillId="0" borderId="0" xfId="0" applyNumberFormat="1" applyFont="1" applyFill="1" applyBorder="1" applyAlignment="1">
      <alignment horizontal="center"/>
    </xf>
    <xf numFmtId="3" fontId="94" fillId="0" borderId="0" xfId="0" applyNumberFormat="1" applyFont="1" applyFill="1" applyBorder="1" applyAlignment="1">
      <alignment/>
    </xf>
    <xf numFmtId="0" fontId="120" fillId="0" borderId="0" xfId="0" applyFont="1" applyFill="1" applyBorder="1" applyAlignment="1">
      <alignment horizontal="left"/>
    </xf>
    <xf numFmtId="0" fontId="120" fillId="0" borderId="0" xfId="0" applyFont="1" applyFill="1" applyBorder="1" applyAlignment="1">
      <alignment/>
    </xf>
    <xf numFmtId="0" fontId="124" fillId="0" borderId="0" xfId="0" applyFont="1" applyFill="1" applyBorder="1" applyAlignment="1">
      <alignment horizontal="left" vertical="top" wrapText="1"/>
    </xf>
    <xf numFmtId="169" fontId="91" fillId="0" borderId="0" xfId="0" applyNumberFormat="1" applyFont="1" applyFill="1" applyBorder="1" applyAlignment="1">
      <alignment horizontal="center"/>
    </xf>
    <xf numFmtId="169" fontId="94" fillId="0" borderId="0" xfId="0" applyNumberFormat="1" applyFont="1" applyFill="1" applyBorder="1" applyAlignment="1">
      <alignment horizontal="center"/>
    </xf>
    <xf numFmtId="0" fontId="120" fillId="0" borderId="0" xfId="0" applyFont="1" applyFill="1" applyBorder="1" applyAlignment="1">
      <alignment horizontal="center" vertical="center" wrapText="1"/>
    </xf>
    <xf numFmtId="0" fontId="91" fillId="0" borderId="0" xfId="0" applyFont="1" applyFill="1" applyBorder="1" applyAlignment="1">
      <alignment horizontal="center" vertical="center" wrapText="1"/>
    </xf>
    <xf numFmtId="0" fontId="94" fillId="0" borderId="0" xfId="0" applyFont="1" applyFill="1" applyBorder="1" applyAlignment="1">
      <alignment horizontal="left"/>
    </xf>
    <xf numFmtId="1" fontId="121" fillId="0" borderId="0" xfId="0" applyNumberFormat="1" applyFont="1" applyFill="1" applyBorder="1" applyAlignment="1">
      <alignment horizontal="right" vertical="center" wrapText="1"/>
    </xf>
    <xf numFmtId="0" fontId="94" fillId="0" borderId="0" xfId="0" applyFont="1" applyFill="1" applyBorder="1" applyAlignment="1">
      <alignment horizontal="center" vertical="center" wrapText="1"/>
    </xf>
    <xf numFmtId="3" fontId="91" fillId="0" borderId="0" xfId="0" applyNumberFormat="1" applyFont="1" applyFill="1" applyBorder="1" applyAlignment="1">
      <alignment horizontal="right"/>
    </xf>
    <xf numFmtId="4" fontId="91" fillId="0" borderId="0" xfId="0" applyNumberFormat="1" applyFont="1" applyFill="1" applyBorder="1" applyAlignment="1">
      <alignment horizontal="center"/>
    </xf>
    <xf numFmtId="4" fontId="94" fillId="0" borderId="0" xfId="0" applyNumberFormat="1" applyFont="1" applyFill="1" applyBorder="1" applyAlignment="1">
      <alignment/>
    </xf>
    <xf numFmtId="4" fontId="94" fillId="0" borderId="0" xfId="0" applyNumberFormat="1" applyFont="1" applyFill="1" applyBorder="1" applyAlignment="1">
      <alignment horizontal="center"/>
    </xf>
    <xf numFmtId="4" fontId="91" fillId="0" borderId="0" xfId="0" applyNumberFormat="1" applyFont="1" applyFill="1" applyBorder="1" applyAlignment="1">
      <alignment horizontal="center" wrapText="1"/>
    </xf>
    <xf numFmtId="4" fontId="94" fillId="0" borderId="0" xfId="0" applyNumberFormat="1" applyFont="1" applyFill="1" applyBorder="1" applyAlignment="1">
      <alignment horizontal="center" wrapText="1"/>
    </xf>
    <xf numFmtId="0" fontId="94" fillId="0" borderId="0" xfId="0" applyFont="1" applyFill="1" applyBorder="1" applyAlignment="1">
      <alignment horizontal="center"/>
    </xf>
    <xf numFmtId="3" fontId="94" fillId="0" borderId="0" xfId="0" applyNumberFormat="1" applyFont="1" applyFill="1" applyBorder="1" applyAlignment="1">
      <alignment horizontal="right"/>
    </xf>
    <xf numFmtId="0" fontId="94" fillId="0" borderId="0" xfId="0" applyFont="1" applyFill="1" applyBorder="1" applyAlignment="1">
      <alignment horizontal="right"/>
    </xf>
    <xf numFmtId="9" fontId="120" fillId="0" borderId="0" xfId="0" applyNumberFormat="1" applyFont="1" applyFill="1" applyBorder="1" applyAlignment="1">
      <alignment horizontal="center" vertical="center" wrapText="1"/>
    </xf>
    <xf numFmtId="0" fontId="120" fillId="0" borderId="0" xfId="0" applyFont="1" applyFill="1" applyBorder="1" applyAlignment="1">
      <alignment horizontal="center" vertical="center"/>
    </xf>
    <xf numFmtId="9" fontId="121" fillId="0" borderId="0" xfId="0" applyNumberFormat="1" applyFont="1" applyFill="1" applyBorder="1" applyAlignment="1">
      <alignment horizontal="center" vertical="center" wrapText="1"/>
    </xf>
    <xf numFmtId="4" fontId="127" fillId="0" borderId="0" xfId="0" applyNumberFormat="1" applyFont="1" applyFill="1" applyBorder="1" applyAlignment="1">
      <alignment horizontal="center" wrapText="1"/>
    </xf>
    <xf numFmtId="0" fontId="130" fillId="0" borderId="0" xfId="0" applyFont="1" applyFill="1" applyBorder="1" applyAlignment="1">
      <alignment horizontal="left"/>
    </xf>
    <xf numFmtId="0" fontId="127" fillId="0" borderId="0" xfId="0" applyFont="1" applyFill="1" applyBorder="1" applyAlignment="1">
      <alignment horizontal="center" vertical="center"/>
    </xf>
    <xf numFmtId="0" fontId="135" fillId="0" borderId="0" xfId="0" applyFont="1" applyFill="1" applyBorder="1" applyAlignment="1">
      <alignment horizontal="left" vertical="center"/>
    </xf>
    <xf numFmtId="168" fontId="134" fillId="0" borderId="0" xfId="0" applyNumberFormat="1" applyFont="1" applyFill="1" applyBorder="1" applyAlignment="1">
      <alignment horizontal="center" wrapText="1"/>
    </xf>
    <xf numFmtId="0" fontId="134" fillId="0" borderId="0" xfId="0" applyFont="1" applyFill="1" applyBorder="1" applyAlignment="1">
      <alignment horizontal="left" wrapText="1"/>
    </xf>
    <xf numFmtId="0" fontId="119" fillId="0" borderId="0" xfId="0" applyFont="1" applyFill="1" applyBorder="1" applyAlignment="1">
      <alignment horizontal="left" wrapText="1"/>
    </xf>
    <xf numFmtId="0" fontId="94" fillId="0" borderId="0" xfId="0" applyFont="1" applyFill="1" applyBorder="1" applyAlignment="1">
      <alignment vertical="center" wrapText="1"/>
    </xf>
    <xf numFmtId="0" fontId="91" fillId="0" borderId="0" xfId="0" applyFont="1" applyFill="1" applyBorder="1" applyAlignment="1">
      <alignment vertical="center" wrapText="1"/>
    </xf>
    <xf numFmtId="0" fontId="134" fillId="0" borderId="0" xfId="0" applyFont="1" applyFill="1" applyBorder="1" applyAlignment="1">
      <alignment horizontal="left" vertical="center" wrapText="1"/>
    </xf>
    <xf numFmtId="0" fontId="119" fillId="0" borderId="0" xfId="0" applyFont="1" applyFill="1" applyBorder="1" applyAlignment="1">
      <alignment horizontal="left" vertical="center" wrapText="1"/>
    </xf>
    <xf numFmtId="176" fontId="108" fillId="0" borderId="0" xfId="0" applyNumberFormat="1" applyFont="1" applyFill="1" applyBorder="1" applyAlignment="1" applyProtection="1">
      <alignment horizontal="right" vertical="center"/>
      <protection/>
    </xf>
    <xf numFmtId="177" fontId="108" fillId="0" borderId="0" xfId="0" applyNumberFormat="1" applyFont="1" applyFill="1" applyBorder="1" applyAlignment="1" applyProtection="1">
      <alignment horizontal="right" vertical="center"/>
      <protection/>
    </xf>
    <xf numFmtId="176" fontId="108" fillId="0" borderId="0" xfId="0" applyNumberFormat="1" applyFont="1" applyFill="1" applyBorder="1" applyAlignment="1" applyProtection="1">
      <alignment horizontal="center" vertical="center"/>
      <protection/>
    </xf>
    <xf numFmtId="0" fontId="108" fillId="0" borderId="0" xfId="0" applyFont="1" applyFill="1" applyBorder="1" applyAlignment="1">
      <alignment horizontal="center" vertical="center"/>
    </xf>
    <xf numFmtId="0" fontId="119" fillId="0" borderId="0" xfId="0" applyFont="1" applyFill="1" applyBorder="1" applyAlignment="1" applyProtection="1">
      <alignment horizontal="center" vertical="center"/>
      <protection/>
    </xf>
    <xf numFmtId="0" fontId="119" fillId="0" borderId="0" xfId="0" applyFont="1" applyFill="1" applyBorder="1" applyAlignment="1" applyProtection="1">
      <alignment horizontal="center" vertical="center" wrapText="1"/>
      <protection/>
    </xf>
    <xf numFmtId="0" fontId="94" fillId="0" borderId="0" xfId="0" applyFont="1" applyFill="1" applyBorder="1" applyAlignment="1" applyProtection="1">
      <alignment horizontal="center" vertical="center"/>
      <protection locked="0"/>
    </xf>
    <xf numFmtId="176" fontId="108" fillId="0" borderId="0" xfId="0" applyNumberFormat="1" applyFont="1" applyFill="1" applyBorder="1" applyAlignment="1" applyProtection="1">
      <alignment vertical="center"/>
      <protection/>
    </xf>
    <xf numFmtId="177" fontId="108" fillId="0" borderId="0" xfId="0" applyNumberFormat="1" applyFont="1" applyFill="1" applyBorder="1" applyAlignment="1" applyProtection="1">
      <alignment vertical="center"/>
      <protection/>
    </xf>
    <xf numFmtId="0" fontId="108" fillId="0" borderId="0" xfId="0" applyFont="1" applyFill="1" applyBorder="1" applyAlignment="1" applyProtection="1">
      <alignment horizontal="center" vertical="center"/>
      <protection/>
    </xf>
    <xf numFmtId="0" fontId="149" fillId="0" borderId="0" xfId="0" applyFont="1" applyFill="1" applyBorder="1" applyAlignment="1" applyProtection="1">
      <alignment horizontal="center" vertical="center"/>
      <protection locked="0"/>
    </xf>
    <xf numFmtId="0" fontId="138" fillId="0" borderId="0" xfId="0" applyFont="1" applyFill="1" applyBorder="1" applyAlignment="1" applyProtection="1">
      <alignment horizontal="center" vertical="center"/>
      <protection locked="0"/>
    </xf>
    <xf numFmtId="0" fontId="91" fillId="0" borderId="0" xfId="0" applyFont="1" applyFill="1" applyBorder="1" applyAlignment="1">
      <alignment horizontal="center" vertical="center"/>
    </xf>
    <xf numFmtId="0" fontId="141" fillId="0" borderId="0" xfId="0" applyFont="1" applyFill="1" applyBorder="1" applyAlignment="1" applyProtection="1">
      <alignment vertical="center" wrapText="1"/>
      <protection locked="0"/>
    </xf>
    <xf numFmtId="0" fontId="99" fillId="0" borderId="0" xfId="0" applyFont="1" applyFill="1" applyBorder="1" applyAlignment="1" applyProtection="1">
      <alignment/>
      <protection hidden="1" locked="0"/>
    </xf>
    <xf numFmtId="0" fontId="99" fillId="0" borderId="0" xfId="0" applyFont="1" applyFill="1" applyBorder="1" applyAlignment="1" applyProtection="1">
      <alignment/>
      <protection hidden="1" locked="0"/>
    </xf>
    <xf numFmtId="0" fontId="99" fillId="0" borderId="0" xfId="0" applyFont="1" applyFill="1" applyBorder="1" applyAlignment="1" applyProtection="1">
      <alignment/>
      <protection hidden="1" locked="0"/>
    </xf>
    <xf numFmtId="0" fontId="150" fillId="0" borderId="0" xfId="0" applyFont="1" applyFill="1" applyBorder="1" applyAlignment="1" applyProtection="1">
      <alignment horizontal="right"/>
      <protection hidden="1" locked="0"/>
    </xf>
    <xf numFmtId="0" fontId="150" fillId="0" borderId="0" xfId="0" applyFont="1" applyFill="1" applyBorder="1" applyAlignment="1" applyProtection="1">
      <alignment/>
      <protection hidden="1"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rmale 2"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228600</xdr:colOff>
      <xdr:row>0</xdr:row>
      <xdr:rowOff>0</xdr:rowOff>
    </xdr:from>
    <xdr:to>
      <xdr:col>21</xdr:col>
      <xdr:colOff>371475</xdr:colOff>
      <xdr:row>3</xdr:row>
      <xdr:rowOff>0</xdr:rowOff>
    </xdr:to>
    <xdr:pic>
      <xdr:nvPicPr>
        <xdr:cNvPr id="1" name="Picture 197"/>
        <xdr:cNvPicPr preferRelativeResize="1">
          <a:picLocks noChangeAspect="1"/>
        </xdr:cNvPicPr>
      </xdr:nvPicPr>
      <xdr:blipFill>
        <a:blip r:embed="rId1"/>
        <a:stretch>
          <a:fillRect/>
        </a:stretch>
      </xdr:blipFill>
      <xdr:spPr>
        <a:xfrm>
          <a:off x="11249025" y="0"/>
          <a:ext cx="1009650" cy="352425"/>
        </a:xfrm>
        <a:prstGeom prst="rect">
          <a:avLst/>
        </a:prstGeom>
        <a:noFill/>
        <a:ln w="9525" cmpd="sng">
          <a:noFill/>
        </a:ln>
      </xdr:spPr>
    </xdr:pic>
    <xdr:clientData/>
  </xdr:twoCellAnchor>
  <xdr:twoCellAnchor editAs="oneCell">
    <xdr:from>
      <xdr:col>2</xdr:col>
      <xdr:colOff>762000</xdr:colOff>
      <xdr:row>8</xdr:row>
      <xdr:rowOff>9525</xdr:rowOff>
    </xdr:from>
    <xdr:to>
      <xdr:col>2</xdr:col>
      <xdr:colOff>942975</xdr:colOff>
      <xdr:row>8</xdr:row>
      <xdr:rowOff>180975</xdr:rowOff>
    </xdr:to>
    <xdr:pic>
      <xdr:nvPicPr>
        <xdr:cNvPr id="2" name="Picture 12"/>
        <xdr:cNvPicPr preferRelativeResize="1">
          <a:picLocks noChangeAspect="1"/>
        </xdr:cNvPicPr>
      </xdr:nvPicPr>
      <xdr:blipFill>
        <a:blip r:embed="rId2"/>
        <a:srcRect l="6393" t="4650" r="8139" b="6809"/>
        <a:stretch>
          <a:fillRect/>
        </a:stretch>
      </xdr:blipFill>
      <xdr:spPr>
        <a:xfrm>
          <a:off x="2524125" y="1181100"/>
          <a:ext cx="180975" cy="171450"/>
        </a:xfrm>
        <a:prstGeom prst="rect">
          <a:avLst/>
        </a:prstGeom>
        <a:noFill/>
        <a:ln w="9525" cmpd="sng">
          <a:noFill/>
        </a:ln>
      </xdr:spPr>
    </xdr:pic>
    <xdr:clientData/>
  </xdr:twoCellAnchor>
  <xdr:twoCellAnchor editAs="oneCell">
    <xdr:from>
      <xdr:col>2</xdr:col>
      <xdr:colOff>762000</xdr:colOff>
      <xdr:row>9</xdr:row>
      <xdr:rowOff>9525</xdr:rowOff>
    </xdr:from>
    <xdr:to>
      <xdr:col>3</xdr:col>
      <xdr:colOff>9525</xdr:colOff>
      <xdr:row>9</xdr:row>
      <xdr:rowOff>171450</xdr:rowOff>
    </xdr:to>
    <xdr:pic>
      <xdr:nvPicPr>
        <xdr:cNvPr id="3" name="Picture 12"/>
        <xdr:cNvPicPr preferRelativeResize="1">
          <a:picLocks noChangeAspect="1"/>
        </xdr:cNvPicPr>
      </xdr:nvPicPr>
      <xdr:blipFill>
        <a:blip r:embed="rId2"/>
        <a:srcRect l="6393" t="4650" r="8139" b="6809"/>
        <a:stretch>
          <a:fillRect/>
        </a:stretch>
      </xdr:blipFill>
      <xdr:spPr>
        <a:xfrm>
          <a:off x="2524125" y="1390650"/>
          <a:ext cx="190500" cy="161925"/>
        </a:xfrm>
        <a:prstGeom prst="rect">
          <a:avLst/>
        </a:prstGeom>
        <a:noFill/>
        <a:ln w="9525" cmpd="sng">
          <a:noFill/>
        </a:ln>
      </xdr:spPr>
    </xdr:pic>
    <xdr:clientData/>
  </xdr:twoCellAnchor>
  <xdr:twoCellAnchor editAs="oneCell">
    <xdr:from>
      <xdr:col>2</xdr:col>
      <xdr:colOff>762000</xdr:colOff>
      <xdr:row>10</xdr:row>
      <xdr:rowOff>9525</xdr:rowOff>
    </xdr:from>
    <xdr:to>
      <xdr:col>3</xdr:col>
      <xdr:colOff>9525</xdr:colOff>
      <xdr:row>10</xdr:row>
      <xdr:rowOff>171450</xdr:rowOff>
    </xdr:to>
    <xdr:pic>
      <xdr:nvPicPr>
        <xdr:cNvPr id="4" name="Picture 12"/>
        <xdr:cNvPicPr preferRelativeResize="1">
          <a:picLocks noChangeAspect="1"/>
        </xdr:cNvPicPr>
      </xdr:nvPicPr>
      <xdr:blipFill>
        <a:blip r:embed="rId2"/>
        <a:srcRect l="6393" t="4650" r="8139" b="6809"/>
        <a:stretch>
          <a:fillRect/>
        </a:stretch>
      </xdr:blipFill>
      <xdr:spPr>
        <a:xfrm>
          <a:off x="2524125" y="1600200"/>
          <a:ext cx="190500" cy="161925"/>
        </a:xfrm>
        <a:prstGeom prst="rect">
          <a:avLst/>
        </a:prstGeom>
        <a:noFill/>
        <a:ln w="9525" cmpd="sng">
          <a:noFill/>
        </a:ln>
      </xdr:spPr>
    </xdr:pic>
    <xdr:clientData/>
  </xdr:twoCellAnchor>
  <xdr:twoCellAnchor editAs="oneCell">
    <xdr:from>
      <xdr:col>2</xdr:col>
      <xdr:colOff>762000</xdr:colOff>
      <xdr:row>11</xdr:row>
      <xdr:rowOff>9525</xdr:rowOff>
    </xdr:from>
    <xdr:to>
      <xdr:col>3</xdr:col>
      <xdr:colOff>9525</xdr:colOff>
      <xdr:row>11</xdr:row>
      <xdr:rowOff>180975</xdr:rowOff>
    </xdr:to>
    <xdr:pic>
      <xdr:nvPicPr>
        <xdr:cNvPr id="5" name="Picture 12"/>
        <xdr:cNvPicPr preferRelativeResize="1">
          <a:picLocks noChangeAspect="1"/>
        </xdr:cNvPicPr>
      </xdr:nvPicPr>
      <xdr:blipFill>
        <a:blip r:embed="rId2"/>
        <a:srcRect l="6393" t="4650" r="8139" b="6809"/>
        <a:stretch>
          <a:fillRect/>
        </a:stretch>
      </xdr:blipFill>
      <xdr:spPr>
        <a:xfrm>
          <a:off x="2524125" y="1809750"/>
          <a:ext cx="190500" cy="171450"/>
        </a:xfrm>
        <a:prstGeom prst="rect">
          <a:avLst/>
        </a:prstGeom>
        <a:noFill/>
        <a:ln w="9525" cmpd="sng">
          <a:noFill/>
        </a:ln>
      </xdr:spPr>
    </xdr:pic>
    <xdr:clientData/>
  </xdr:twoCellAnchor>
  <xdr:twoCellAnchor editAs="oneCell">
    <xdr:from>
      <xdr:col>8</xdr:col>
      <xdr:colOff>219075</xdr:colOff>
      <xdr:row>9</xdr:row>
      <xdr:rowOff>9525</xdr:rowOff>
    </xdr:from>
    <xdr:to>
      <xdr:col>8</xdr:col>
      <xdr:colOff>400050</xdr:colOff>
      <xdr:row>9</xdr:row>
      <xdr:rowOff>171450</xdr:rowOff>
    </xdr:to>
    <xdr:pic>
      <xdr:nvPicPr>
        <xdr:cNvPr id="6" name="Picture 12"/>
        <xdr:cNvPicPr preferRelativeResize="1">
          <a:picLocks noChangeAspect="1"/>
        </xdr:cNvPicPr>
      </xdr:nvPicPr>
      <xdr:blipFill>
        <a:blip r:embed="rId2"/>
        <a:srcRect l="6393" t="4650" r="8139" b="6809"/>
        <a:stretch>
          <a:fillRect/>
        </a:stretch>
      </xdr:blipFill>
      <xdr:spPr>
        <a:xfrm>
          <a:off x="5334000" y="1390650"/>
          <a:ext cx="180975" cy="161925"/>
        </a:xfrm>
        <a:prstGeom prst="rect">
          <a:avLst/>
        </a:prstGeom>
        <a:noFill/>
        <a:ln w="9525" cmpd="sng">
          <a:noFill/>
        </a:ln>
      </xdr:spPr>
    </xdr:pic>
    <xdr:clientData/>
  </xdr:twoCellAnchor>
  <xdr:twoCellAnchor editAs="oneCell">
    <xdr:from>
      <xdr:col>8</xdr:col>
      <xdr:colOff>219075</xdr:colOff>
      <xdr:row>11</xdr:row>
      <xdr:rowOff>9525</xdr:rowOff>
    </xdr:from>
    <xdr:to>
      <xdr:col>8</xdr:col>
      <xdr:colOff>400050</xdr:colOff>
      <xdr:row>11</xdr:row>
      <xdr:rowOff>180975</xdr:rowOff>
    </xdr:to>
    <xdr:pic>
      <xdr:nvPicPr>
        <xdr:cNvPr id="7" name="Picture 12"/>
        <xdr:cNvPicPr preferRelativeResize="1">
          <a:picLocks noChangeAspect="1"/>
        </xdr:cNvPicPr>
      </xdr:nvPicPr>
      <xdr:blipFill>
        <a:blip r:embed="rId2"/>
        <a:srcRect l="6393" t="4650" r="8139" b="6809"/>
        <a:stretch>
          <a:fillRect/>
        </a:stretch>
      </xdr:blipFill>
      <xdr:spPr>
        <a:xfrm>
          <a:off x="5334000" y="1809750"/>
          <a:ext cx="180975" cy="171450"/>
        </a:xfrm>
        <a:prstGeom prst="rect">
          <a:avLst/>
        </a:prstGeom>
        <a:noFill/>
        <a:ln w="9525" cmpd="sng">
          <a:noFill/>
        </a:ln>
      </xdr:spPr>
    </xdr:pic>
    <xdr:clientData/>
  </xdr:twoCellAnchor>
  <xdr:twoCellAnchor editAs="oneCell">
    <xdr:from>
      <xdr:col>4</xdr:col>
      <xdr:colOff>1057275</xdr:colOff>
      <xdr:row>15</xdr:row>
      <xdr:rowOff>9525</xdr:rowOff>
    </xdr:from>
    <xdr:to>
      <xdr:col>4</xdr:col>
      <xdr:colOff>1247775</xdr:colOff>
      <xdr:row>15</xdr:row>
      <xdr:rowOff>190500</xdr:rowOff>
    </xdr:to>
    <xdr:pic>
      <xdr:nvPicPr>
        <xdr:cNvPr id="8" name="Picture 12"/>
        <xdr:cNvPicPr preferRelativeResize="1">
          <a:picLocks noChangeAspect="1"/>
        </xdr:cNvPicPr>
      </xdr:nvPicPr>
      <xdr:blipFill>
        <a:blip r:embed="rId2"/>
        <a:srcRect l="6393" t="4650" r="8139" b="6809"/>
        <a:stretch>
          <a:fillRect/>
        </a:stretch>
      </xdr:blipFill>
      <xdr:spPr>
        <a:xfrm>
          <a:off x="3981450" y="2457450"/>
          <a:ext cx="190500" cy="180975"/>
        </a:xfrm>
        <a:prstGeom prst="rect">
          <a:avLst/>
        </a:prstGeom>
        <a:noFill/>
        <a:ln w="9525" cmpd="sng">
          <a:noFill/>
        </a:ln>
      </xdr:spPr>
    </xdr:pic>
    <xdr:clientData/>
  </xdr:twoCellAnchor>
  <xdr:twoCellAnchor editAs="oneCell">
    <xdr:from>
      <xdr:col>4</xdr:col>
      <xdr:colOff>1066800</xdr:colOff>
      <xdr:row>20</xdr:row>
      <xdr:rowOff>9525</xdr:rowOff>
    </xdr:from>
    <xdr:to>
      <xdr:col>4</xdr:col>
      <xdr:colOff>1247775</xdr:colOff>
      <xdr:row>20</xdr:row>
      <xdr:rowOff>180975</xdr:rowOff>
    </xdr:to>
    <xdr:pic>
      <xdr:nvPicPr>
        <xdr:cNvPr id="9" name="Picture 12"/>
        <xdr:cNvPicPr preferRelativeResize="1">
          <a:picLocks noChangeAspect="1"/>
        </xdr:cNvPicPr>
      </xdr:nvPicPr>
      <xdr:blipFill>
        <a:blip r:embed="rId2"/>
        <a:srcRect l="6393" t="4650" r="8139" b="6809"/>
        <a:stretch>
          <a:fillRect/>
        </a:stretch>
      </xdr:blipFill>
      <xdr:spPr>
        <a:xfrm>
          <a:off x="3990975" y="3486150"/>
          <a:ext cx="180975" cy="171450"/>
        </a:xfrm>
        <a:prstGeom prst="rect">
          <a:avLst/>
        </a:prstGeom>
        <a:noFill/>
        <a:ln w="9525" cmpd="sng">
          <a:noFill/>
        </a:ln>
      </xdr:spPr>
    </xdr:pic>
    <xdr:clientData/>
  </xdr:twoCellAnchor>
  <xdr:twoCellAnchor editAs="oneCell">
    <xdr:from>
      <xdr:col>4</xdr:col>
      <xdr:colOff>1066800</xdr:colOff>
      <xdr:row>24</xdr:row>
      <xdr:rowOff>9525</xdr:rowOff>
    </xdr:from>
    <xdr:to>
      <xdr:col>4</xdr:col>
      <xdr:colOff>1247775</xdr:colOff>
      <xdr:row>24</xdr:row>
      <xdr:rowOff>180975</xdr:rowOff>
    </xdr:to>
    <xdr:pic>
      <xdr:nvPicPr>
        <xdr:cNvPr id="10" name="Picture 12"/>
        <xdr:cNvPicPr preferRelativeResize="1">
          <a:picLocks noChangeAspect="1"/>
        </xdr:cNvPicPr>
      </xdr:nvPicPr>
      <xdr:blipFill>
        <a:blip r:embed="rId2"/>
        <a:srcRect l="6393" t="4650" r="8139" b="6809"/>
        <a:stretch>
          <a:fillRect/>
        </a:stretch>
      </xdr:blipFill>
      <xdr:spPr>
        <a:xfrm>
          <a:off x="3990975" y="4324350"/>
          <a:ext cx="180975" cy="171450"/>
        </a:xfrm>
        <a:prstGeom prst="rect">
          <a:avLst/>
        </a:prstGeom>
        <a:noFill/>
        <a:ln w="9525" cmpd="sng">
          <a:noFill/>
        </a:ln>
      </xdr:spPr>
    </xdr:pic>
    <xdr:clientData/>
  </xdr:twoCellAnchor>
  <xdr:twoCellAnchor editAs="oneCell">
    <xdr:from>
      <xdr:col>4</xdr:col>
      <xdr:colOff>1066800</xdr:colOff>
      <xdr:row>25</xdr:row>
      <xdr:rowOff>9525</xdr:rowOff>
    </xdr:from>
    <xdr:to>
      <xdr:col>4</xdr:col>
      <xdr:colOff>1247775</xdr:colOff>
      <xdr:row>25</xdr:row>
      <xdr:rowOff>180975</xdr:rowOff>
    </xdr:to>
    <xdr:pic>
      <xdr:nvPicPr>
        <xdr:cNvPr id="11" name="Picture 12"/>
        <xdr:cNvPicPr preferRelativeResize="1">
          <a:picLocks noChangeAspect="1"/>
        </xdr:cNvPicPr>
      </xdr:nvPicPr>
      <xdr:blipFill>
        <a:blip r:embed="rId2"/>
        <a:srcRect l="6393" t="4650" r="8139" b="6809"/>
        <a:stretch>
          <a:fillRect/>
        </a:stretch>
      </xdr:blipFill>
      <xdr:spPr>
        <a:xfrm>
          <a:off x="3990975" y="4533900"/>
          <a:ext cx="180975" cy="171450"/>
        </a:xfrm>
        <a:prstGeom prst="rect">
          <a:avLst/>
        </a:prstGeom>
        <a:noFill/>
        <a:ln w="9525" cmpd="sng">
          <a:noFill/>
        </a:ln>
      </xdr:spPr>
    </xdr:pic>
    <xdr:clientData/>
  </xdr:twoCellAnchor>
  <xdr:twoCellAnchor editAs="oneCell">
    <xdr:from>
      <xdr:col>4</xdr:col>
      <xdr:colOff>1066800</xdr:colOff>
      <xdr:row>26</xdr:row>
      <xdr:rowOff>9525</xdr:rowOff>
    </xdr:from>
    <xdr:to>
      <xdr:col>4</xdr:col>
      <xdr:colOff>1247775</xdr:colOff>
      <xdr:row>26</xdr:row>
      <xdr:rowOff>180975</xdr:rowOff>
    </xdr:to>
    <xdr:pic>
      <xdr:nvPicPr>
        <xdr:cNvPr id="12" name="Picture 12"/>
        <xdr:cNvPicPr preferRelativeResize="1">
          <a:picLocks noChangeAspect="1"/>
        </xdr:cNvPicPr>
      </xdr:nvPicPr>
      <xdr:blipFill>
        <a:blip r:embed="rId2"/>
        <a:srcRect l="6393" t="4650" r="8139" b="6809"/>
        <a:stretch>
          <a:fillRect/>
        </a:stretch>
      </xdr:blipFill>
      <xdr:spPr>
        <a:xfrm>
          <a:off x="3990975" y="4743450"/>
          <a:ext cx="180975" cy="171450"/>
        </a:xfrm>
        <a:prstGeom prst="rect">
          <a:avLst/>
        </a:prstGeom>
        <a:noFill/>
        <a:ln w="9525" cmpd="sng">
          <a:noFill/>
        </a:ln>
      </xdr:spPr>
    </xdr:pic>
    <xdr:clientData/>
  </xdr:twoCellAnchor>
  <xdr:twoCellAnchor editAs="oneCell">
    <xdr:from>
      <xdr:col>4</xdr:col>
      <xdr:colOff>1066800</xdr:colOff>
      <xdr:row>28</xdr:row>
      <xdr:rowOff>9525</xdr:rowOff>
    </xdr:from>
    <xdr:to>
      <xdr:col>4</xdr:col>
      <xdr:colOff>1247775</xdr:colOff>
      <xdr:row>28</xdr:row>
      <xdr:rowOff>180975</xdr:rowOff>
    </xdr:to>
    <xdr:pic>
      <xdr:nvPicPr>
        <xdr:cNvPr id="13" name="Picture 12"/>
        <xdr:cNvPicPr preferRelativeResize="1">
          <a:picLocks noChangeAspect="1"/>
        </xdr:cNvPicPr>
      </xdr:nvPicPr>
      <xdr:blipFill>
        <a:blip r:embed="rId2"/>
        <a:srcRect l="6393" t="4650" r="8139" b="6809"/>
        <a:stretch>
          <a:fillRect/>
        </a:stretch>
      </xdr:blipFill>
      <xdr:spPr>
        <a:xfrm>
          <a:off x="3990975" y="5162550"/>
          <a:ext cx="180975" cy="171450"/>
        </a:xfrm>
        <a:prstGeom prst="rect">
          <a:avLst/>
        </a:prstGeom>
        <a:noFill/>
        <a:ln w="9525" cmpd="sng">
          <a:noFill/>
        </a:ln>
      </xdr:spPr>
    </xdr:pic>
    <xdr:clientData/>
  </xdr:twoCellAnchor>
  <xdr:twoCellAnchor editAs="oneCell">
    <xdr:from>
      <xdr:col>8</xdr:col>
      <xdr:colOff>209550</xdr:colOff>
      <xdr:row>15</xdr:row>
      <xdr:rowOff>9525</xdr:rowOff>
    </xdr:from>
    <xdr:to>
      <xdr:col>8</xdr:col>
      <xdr:colOff>400050</xdr:colOff>
      <xdr:row>15</xdr:row>
      <xdr:rowOff>190500</xdr:rowOff>
    </xdr:to>
    <xdr:pic>
      <xdr:nvPicPr>
        <xdr:cNvPr id="14" name="Picture 12"/>
        <xdr:cNvPicPr preferRelativeResize="1">
          <a:picLocks noChangeAspect="1"/>
        </xdr:cNvPicPr>
      </xdr:nvPicPr>
      <xdr:blipFill>
        <a:blip r:embed="rId2"/>
        <a:srcRect l="6393" t="4650" r="8139" b="6809"/>
        <a:stretch>
          <a:fillRect/>
        </a:stretch>
      </xdr:blipFill>
      <xdr:spPr>
        <a:xfrm>
          <a:off x="5324475" y="2457450"/>
          <a:ext cx="190500" cy="180975"/>
        </a:xfrm>
        <a:prstGeom prst="rect">
          <a:avLst/>
        </a:prstGeom>
        <a:noFill/>
        <a:ln w="9525" cmpd="sng">
          <a:noFill/>
        </a:ln>
      </xdr:spPr>
    </xdr:pic>
    <xdr:clientData/>
  </xdr:twoCellAnchor>
  <xdr:twoCellAnchor editAs="oneCell">
    <xdr:from>
      <xdr:col>6</xdr:col>
      <xdr:colOff>276225</xdr:colOff>
      <xdr:row>20</xdr:row>
      <xdr:rowOff>9525</xdr:rowOff>
    </xdr:from>
    <xdr:to>
      <xdr:col>6</xdr:col>
      <xdr:colOff>276225</xdr:colOff>
      <xdr:row>20</xdr:row>
      <xdr:rowOff>180975</xdr:rowOff>
    </xdr:to>
    <xdr:pic>
      <xdr:nvPicPr>
        <xdr:cNvPr id="15" name="Picture 12"/>
        <xdr:cNvPicPr preferRelativeResize="1">
          <a:picLocks noChangeAspect="1"/>
        </xdr:cNvPicPr>
      </xdr:nvPicPr>
      <xdr:blipFill>
        <a:blip r:embed="rId2"/>
        <a:srcRect l="6393" t="4650" r="8139" b="6809"/>
        <a:stretch>
          <a:fillRect/>
        </a:stretch>
      </xdr:blipFill>
      <xdr:spPr>
        <a:xfrm>
          <a:off x="4543425" y="3486150"/>
          <a:ext cx="0" cy="171450"/>
        </a:xfrm>
        <a:prstGeom prst="rect">
          <a:avLst/>
        </a:prstGeom>
        <a:noFill/>
        <a:ln w="9525" cmpd="sng">
          <a:noFill/>
        </a:ln>
      </xdr:spPr>
    </xdr:pic>
    <xdr:clientData/>
  </xdr:twoCellAnchor>
  <xdr:twoCellAnchor editAs="oneCell">
    <xdr:from>
      <xdr:col>8</xdr:col>
      <xdr:colOff>219075</xdr:colOff>
      <xdr:row>20</xdr:row>
      <xdr:rowOff>9525</xdr:rowOff>
    </xdr:from>
    <xdr:to>
      <xdr:col>8</xdr:col>
      <xdr:colOff>400050</xdr:colOff>
      <xdr:row>20</xdr:row>
      <xdr:rowOff>180975</xdr:rowOff>
    </xdr:to>
    <xdr:pic>
      <xdr:nvPicPr>
        <xdr:cNvPr id="16" name="Picture 12"/>
        <xdr:cNvPicPr preferRelativeResize="1">
          <a:picLocks noChangeAspect="1"/>
        </xdr:cNvPicPr>
      </xdr:nvPicPr>
      <xdr:blipFill>
        <a:blip r:embed="rId2"/>
        <a:srcRect l="6393" t="4650" r="8139" b="6809"/>
        <a:stretch>
          <a:fillRect/>
        </a:stretch>
      </xdr:blipFill>
      <xdr:spPr>
        <a:xfrm>
          <a:off x="5334000" y="3486150"/>
          <a:ext cx="180975" cy="171450"/>
        </a:xfrm>
        <a:prstGeom prst="rect">
          <a:avLst/>
        </a:prstGeom>
        <a:noFill/>
        <a:ln w="9525" cmpd="sng">
          <a:noFill/>
        </a:ln>
      </xdr:spPr>
    </xdr:pic>
    <xdr:clientData/>
  </xdr:twoCellAnchor>
  <xdr:twoCellAnchor editAs="oneCell">
    <xdr:from>
      <xdr:col>6</xdr:col>
      <xdr:colOff>276225</xdr:colOff>
      <xdr:row>24</xdr:row>
      <xdr:rowOff>9525</xdr:rowOff>
    </xdr:from>
    <xdr:to>
      <xdr:col>6</xdr:col>
      <xdr:colOff>276225</xdr:colOff>
      <xdr:row>24</xdr:row>
      <xdr:rowOff>180975</xdr:rowOff>
    </xdr:to>
    <xdr:pic>
      <xdr:nvPicPr>
        <xdr:cNvPr id="17" name="Picture 12"/>
        <xdr:cNvPicPr preferRelativeResize="1">
          <a:picLocks noChangeAspect="1"/>
        </xdr:cNvPicPr>
      </xdr:nvPicPr>
      <xdr:blipFill>
        <a:blip r:embed="rId2"/>
        <a:srcRect l="6393" t="4650" r="8139" b="6809"/>
        <a:stretch>
          <a:fillRect/>
        </a:stretch>
      </xdr:blipFill>
      <xdr:spPr>
        <a:xfrm>
          <a:off x="4543425" y="4324350"/>
          <a:ext cx="0" cy="171450"/>
        </a:xfrm>
        <a:prstGeom prst="rect">
          <a:avLst/>
        </a:prstGeom>
        <a:noFill/>
        <a:ln w="9525" cmpd="sng">
          <a:noFill/>
        </a:ln>
      </xdr:spPr>
    </xdr:pic>
    <xdr:clientData/>
  </xdr:twoCellAnchor>
  <xdr:twoCellAnchor editAs="oneCell">
    <xdr:from>
      <xdr:col>6</xdr:col>
      <xdr:colOff>276225</xdr:colOff>
      <xdr:row>24</xdr:row>
      <xdr:rowOff>9525</xdr:rowOff>
    </xdr:from>
    <xdr:to>
      <xdr:col>6</xdr:col>
      <xdr:colOff>276225</xdr:colOff>
      <xdr:row>24</xdr:row>
      <xdr:rowOff>180975</xdr:rowOff>
    </xdr:to>
    <xdr:pic>
      <xdr:nvPicPr>
        <xdr:cNvPr id="18" name="Picture 12"/>
        <xdr:cNvPicPr preferRelativeResize="1">
          <a:picLocks noChangeAspect="1"/>
        </xdr:cNvPicPr>
      </xdr:nvPicPr>
      <xdr:blipFill>
        <a:blip r:embed="rId2"/>
        <a:srcRect l="6393" t="4650" r="8139" b="6809"/>
        <a:stretch>
          <a:fillRect/>
        </a:stretch>
      </xdr:blipFill>
      <xdr:spPr>
        <a:xfrm>
          <a:off x="4543425" y="4324350"/>
          <a:ext cx="0" cy="171450"/>
        </a:xfrm>
        <a:prstGeom prst="rect">
          <a:avLst/>
        </a:prstGeom>
        <a:noFill/>
        <a:ln w="9525" cmpd="sng">
          <a:noFill/>
        </a:ln>
      </xdr:spPr>
    </xdr:pic>
    <xdr:clientData/>
  </xdr:twoCellAnchor>
  <xdr:twoCellAnchor editAs="oneCell">
    <xdr:from>
      <xdr:col>8</xdr:col>
      <xdr:colOff>219075</xdr:colOff>
      <xdr:row>24</xdr:row>
      <xdr:rowOff>9525</xdr:rowOff>
    </xdr:from>
    <xdr:to>
      <xdr:col>8</xdr:col>
      <xdr:colOff>400050</xdr:colOff>
      <xdr:row>24</xdr:row>
      <xdr:rowOff>180975</xdr:rowOff>
    </xdr:to>
    <xdr:pic>
      <xdr:nvPicPr>
        <xdr:cNvPr id="19" name="Picture 12"/>
        <xdr:cNvPicPr preferRelativeResize="1">
          <a:picLocks noChangeAspect="1"/>
        </xdr:cNvPicPr>
      </xdr:nvPicPr>
      <xdr:blipFill>
        <a:blip r:embed="rId2"/>
        <a:srcRect l="6393" t="4650" r="8139" b="6809"/>
        <a:stretch>
          <a:fillRect/>
        </a:stretch>
      </xdr:blipFill>
      <xdr:spPr>
        <a:xfrm>
          <a:off x="5334000" y="4324350"/>
          <a:ext cx="180975" cy="171450"/>
        </a:xfrm>
        <a:prstGeom prst="rect">
          <a:avLst/>
        </a:prstGeom>
        <a:noFill/>
        <a:ln w="9525" cmpd="sng">
          <a:noFill/>
        </a:ln>
      </xdr:spPr>
    </xdr:pic>
    <xdr:clientData/>
  </xdr:twoCellAnchor>
  <xdr:twoCellAnchor editAs="oneCell">
    <xdr:from>
      <xdr:col>6</xdr:col>
      <xdr:colOff>276225</xdr:colOff>
      <xdr:row>25</xdr:row>
      <xdr:rowOff>9525</xdr:rowOff>
    </xdr:from>
    <xdr:to>
      <xdr:col>6</xdr:col>
      <xdr:colOff>276225</xdr:colOff>
      <xdr:row>25</xdr:row>
      <xdr:rowOff>180975</xdr:rowOff>
    </xdr:to>
    <xdr:pic>
      <xdr:nvPicPr>
        <xdr:cNvPr id="20" name="Picture 12"/>
        <xdr:cNvPicPr preferRelativeResize="1">
          <a:picLocks noChangeAspect="1"/>
        </xdr:cNvPicPr>
      </xdr:nvPicPr>
      <xdr:blipFill>
        <a:blip r:embed="rId2"/>
        <a:srcRect l="6393" t="4650" r="8139" b="6809"/>
        <a:stretch>
          <a:fillRect/>
        </a:stretch>
      </xdr:blipFill>
      <xdr:spPr>
        <a:xfrm>
          <a:off x="4543425" y="4533900"/>
          <a:ext cx="0" cy="171450"/>
        </a:xfrm>
        <a:prstGeom prst="rect">
          <a:avLst/>
        </a:prstGeom>
        <a:noFill/>
        <a:ln w="9525" cmpd="sng">
          <a:noFill/>
        </a:ln>
      </xdr:spPr>
    </xdr:pic>
    <xdr:clientData/>
  </xdr:twoCellAnchor>
  <xdr:twoCellAnchor editAs="oneCell">
    <xdr:from>
      <xdr:col>8</xdr:col>
      <xdr:colOff>219075</xdr:colOff>
      <xdr:row>25</xdr:row>
      <xdr:rowOff>9525</xdr:rowOff>
    </xdr:from>
    <xdr:to>
      <xdr:col>8</xdr:col>
      <xdr:colOff>400050</xdr:colOff>
      <xdr:row>25</xdr:row>
      <xdr:rowOff>180975</xdr:rowOff>
    </xdr:to>
    <xdr:pic>
      <xdr:nvPicPr>
        <xdr:cNvPr id="21" name="Picture 12"/>
        <xdr:cNvPicPr preferRelativeResize="1">
          <a:picLocks noChangeAspect="1"/>
        </xdr:cNvPicPr>
      </xdr:nvPicPr>
      <xdr:blipFill>
        <a:blip r:embed="rId2"/>
        <a:srcRect l="6393" t="4650" r="8139" b="6809"/>
        <a:stretch>
          <a:fillRect/>
        </a:stretch>
      </xdr:blipFill>
      <xdr:spPr>
        <a:xfrm>
          <a:off x="5334000" y="4533900"/>
          <a:ext cx="180975" cy="171450"/>
        </a:xfrm>
        <a:prstGeom prst="rect">
          <a:avLst/>
        </a:prstGeom>
        <a:noFill/>
        <a:ln w="9525" cmpd="sng">
          <a:noFill/>
        </a:ln>
      </xdr:spPr>
    </xdr:pic>
    <xdr:clientData/>
  </xdr:twoCellAnchor>
  <xdr:twoCellAnchor editAs="oneCell">
    <xdr:from>
      <xdr:col>6</xdr:col>
      <xdr:colOff>276225</xdr:colOff>
      <xdr:row>26</xdr:row>
      <xdr:rowOff>9525</xdr:rowOff>
    </xdr:from>
    <xdr:to>
      <xdr:col>6</xdr:col>
      <xdr:colOff>276225</xdr:colOff>
      <xdr:row>26</xdr:row>
      <xdr:rowOff>180975</xdr:rowOff>
    </xdr:to>
    <xdr:pic>
      <xdr:nvPicPr>
        <xdr:cNvPr id="22" name="Picture 12"/>
        <xdr:cNvPicPr preferRelativeResize="1">
          <a:picLocks noChangeAspect="1"/>
        </xdr:cNvPicPr>
      </xdr:nvPicPr>
      <xdr:blipFill>
        <a:blip r:embed="rId2"/>
        <a:srcRect l="6393" t="4650" r="8139" b="6809"/>
        <a:stretch>
          <a:fillRect/>
        </a:stretch>
      </xdr:blipFill>
      <xdr:spPr>
        <a:xfrm>
          <a:off x="4543425" y="4743450"/>
          <a:ext cx="0" cy="171450"/>
        </a:xfrm>
        <a:prstGeom prst="rect">
          <a:avLst/>
        </a:prstGeom>
        <a:noFill/>
        <a:ln w="9525" cmpd="sng">
          <a:noFill/>
        </a:ln>
      </xdr:spPr>
    </xdr:pic>
    <xdr:clientData/>
  </xdr:twoCellAnchor>
  <xdr:twoCellAnchor editAs="oneCell">
    <xdr:from>
      <xdr:col>8</xdr:col>
      <xdr:colOff>219075</xdr:colOff>
      <xdr:row>26</xdr:row>
      <xdr:rowOff>9525</xdr:rowOff>
    </xdr:from>
    <xdr:to>
      <xdr:col>8</xdr:col>
      <xdr:colOff>400050</xdr:colOff>
      <xdr:row>26</xdr:row>
      <xdr:rowOff>180975</xdr:rowOff>
    </xdr:to>
    <xdr:pic>
      <xdr:nvPicPr>
        <xdr:cNvPr id="23" name="Picture 12"/>
        <xdr:cNvPicPr preferRelativeResize="1">
          <a:picLocks noChangeAspect="1"/>
        </xdr:cNvPicPr>
      </xdr:nvPicPr>
      <xdr:blipFill>
        <a:blip r:embed="rId2"/>
        <a:srcRect l="6393" t="4650" r="8139" b="6809"/>
        <a:stretch>
          <a:fillRect/>
        </a:stretch>
      </xdr:blipFill>
      <xdr:spPr>
        <a:xfrm>
          <a:off x="5334000" y="4743450"/>
          <a:ext cx="180975" cy="171450"/>
        </a:xfrm>
        <a:prstGeom prst="rect">
          <a:avLst/>
        </a:prstGeom>
        <a:noFill/>
        <a:ln w="9525" cmpd="sng">
          <a:noFill/>
        </a:ln>
      </xdr:spPr>
    </xdr:pic>
    <xdr:clientData/>
  </xdr:twoCellAnchor>
  <xdr:twoCellAnchor editAs="oneCell">
    <xdr:from>
      <xdr:col>6</xdr:col>
      <xdr:colOff>276225</xdr:colOff>
      <xdr:row>28</xdr:row>
      <xdr:rowOff>9525</xdr:rowOff>
    </xdr:from>
    <xdr:to>
      <xdr:col>6</xdr:col>
      <xdr:colOff>276225</xdr:colOff>
      <xdr:row>28</xdr:row>
      <xdr:rowOff>180975</xdr:rowOff>
    </xdr:to>
    <xdr:pic>
      <xdr:nvPicPr>
        <xdr:cNvPr id="24" name="Picture 12"/>
        <xdr:cNvPicPr preferRelativeResize="1">
          <a:picLocks noChangeAspect="1"/>
        </xdr:cNvPicPr>
      </xdr:nvPicPr>
      <xdr:blipFill>
        <a:blip r:embed="rId2"/>
        <a:srcRect l="6393" t="4650" r="8139" b="6809"/>
        <a:stretch>
          <a:fillRect/>
        </a:stretch>
      </xdr:blipFill>
      <xdr:spPr>
        <a:xfrm>
          <a:off x="4543425" y="5162550"/>
          <a:ext cx="0" cy="171450"/>
        </a:xfrm>
        <a:prstGeom prst="rect">
          <a:avLst/>
        </a:prstGeom>
        <a:noFill/>
        <a:ln w="9525" cmpd="sng">
          <a:noFill/>
        </a:ln>
      </xdr:spPr>
    </xdr:pic>
    <xdr:clientData/>
  </xdr:twoCellAnchor>
  <xdr:twoCellAnchor editAs="oneCell">
    <xdr:from>
      <xdr:col>8</xdr:col>
      <xdr:colOff>219075</xdr:colOff>
      <xdr:row>28</xdr:row>
      <xdr:rowOff>9525</xdr:rowOff>
    </xdr:from>
    <xdr:to>
      <xdr:col>8</xdr:col>
      <xdr:colOff>400050</xdr:colOff>
      <xdr:row>28</xdr:row>
      <xdr:rowOff>180975</xdr:rowOff>
    </xdr:to>
    <xdr:pic>
      <xdr:nvPicPr>
        <xdr:cNvPr id="25" name="Picture 12"/>
        <xdr:cNvPicPr preferRelativeResize="1">
          <a:picLocks noChangeAspect="1"/>
        </xdr:cNvPicPr>
      </xdr:nvPicPr>
      <xdr:blipFill>
        <a:blip r:embed="rId2"/>
        <a:srcRect l="6393" t="4650" r="8139" b="6809"/>
        <a:stretch>
          <a:fillRect/>
        </a:stretch>
      </xdr:blipFill>
      <xdr:spPr>
        <a:xfrm>
          <a:off x="5334000" y="5162550"/>
          <a:ext cx="180975"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xdr:row>
      <xdr:rowOff>57150</xdr:rowOff>
    </xdr:from>
    <xdr:to>
      <xdr:col>4</xdr:col>
      <xdr:colOff>428625</xdr:colOff>
      <xdr:row>40</xdr:row>
      <xdr:rowOff>133350</xdr:rowOff>
    </xdr:to>
    <xdr:pic>
      <xdr:nvPicPr>
        <xdr:cNvPr id="1" name="Picture 2" descr="http://www.risanamentoenergetico.com/classe_energetica_casa.jpg"/>
        <xdr:cNvPicPr preferRelativeResize="1">
          <a:picLocks noChangeAspect="1"/>
        </xdr:cNvPicPr>
      </xdr:nvPicPr>
      <xdr:blipFill>
        <a:blip r:embed="rId1"/>
        <a:stretch>
          <a:fillRect/>
        </a:stretch>
      </xdr:blipFill>
      <xdr:spPr>
        <a:xfrm>
          <a:off x="0" y="6267450"/>
          <a:ext cx="4552950" cy="2543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3</xdr:row>
      <xdr:rowOff>342900</xdr:rowOff>
    </xdr:from>
    <xdr:to>
      <xdr:col>73</xdr:col>
      <xdr:colOff>28575</xdr:colOff>
      <xdr:row>4</xdr:row>
      <xdr:rowOff>2390775</xdr:rowOff>
    </xdr:to>
    <xdr:sp fLocksText="0">
      <xdr:nvSpPr>
        <xdr:cNvPr id="1" name="CasellaDiTesto 38"/>
        <xdr:cNvSpPr txBox="1">
          <a:spLocks noChangeArrowheads="1"/>
        </xdr:cNvSpPr>
      </xdr:nvSpPr>
      <xdr:spPr>
        <a:xfrm>
          <a:off x="1114425" y="1104900"/>
          <a:ext cx="5429250" cy="2438400"/>
        </a:xfrm>
        <a:prstGeom prst="rect">
          <a:avLst/>
        </a:prstGeom>
        <a:solidFill>
          <a:srgbClr val="FFFFFF"/>
        </a:solidFill>
        <a:ln w="9525" cmpd="sng">
          <a:solidFill>
            <a:srgbClr val="BCBCB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3</xdr:row>
      <xdr:rowOff>295275</xdr:rowOff>
    </xdr:from>
    <xdr:to>
      <xdr:col>73</xdr:col>
      <xdr:colOff>19050</xdr:colOff>
      <xdr:row>4</xdr:row>
      <xdr:rowOff>2343150</xdr:rowOff>
    </xdr:to>
    <xdr:sp>
      <xdr:nvSpPr>
        <xdr:cNvPr id="1" name="CasellaDiTesto 7"/>
        <xdr:cNvSpPr txBox="1">
          <a:spLocks noChangeArrowheads="1"/>
        </xdr:cNvSpPr>
      </xdr:nvSpPr>
      <xdr:spPr>
        <a:xfrm>
          <a:off x="1104900" y="1057275"/>
          <a:ext cx="5429250" cy="2438400"/>
        </a:xfrm>
        <a:prstGeom prst="rect">
          <a:avLst/>
        </a:prstGeom>
        <a:solidFill>
          <a:srgbClr val="FFFFFF"/>
        </a:solidFill>
        <a:ln w="9525" cmpd="sng">
          <a:solidFill>
            <a:srgbClr val="BCBCBC">
              <a:alpha val="0"/>
            </a:srgbClr>
          </a:solidFill>
          <a:headEnd type="none"/>
          <a:tailEnd type="none"/>
        </a:ln>
      </xdr:spPr>
      <xdr:txBody>
        <a:bodyPr vertOverflow="clip" wrap="square"/>
        <a:p>
          <a:pPr algn="ctr">
            <a:defRPr/>
          </a:pPr>
          <a:r>
            <a:rPr lang="en-US" cap="none" sz="20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9900"/>
  </sheetPr>
  <dimension ref="A2:CE1087"/>
  <sheetViews>
    <sheetView showGridLines="0" showRowColHeaders="0" tabSelected="1" zoomScalePageLayoutView="0" workbookViewId="0" topLeftCell="A1">
      <selection activeCell="A1" sqref="A1"/>
    </sheetView>
  </sheetViews>
  <sheetFormatPr defaultColWidth="9.140625" defaultRowHeight="15"/>
  <cols>
    <col min="1" max="1" width="1.8515625" style="21" customWidth="1"/>
    <col min="2" max="2" width="24.57421875" style="21" customWidth="1"/>
    <col min="3" max="3" width="14.140625" style="22" customWidth="1"/>
    <col min="4" max="4" width="3.28125" style="21" customWidth="1"/>
    <col min="5" max="5" width="18.7109375" style="21" customWidth="1"/>
    <col min="6" max="6" width="1.421875" style="21" customWidth="1"/>
    <col min="7" max="7" width="4.140625" style="23" customWidth="1"/>
    <col min="8" max="8" width="8.57421875" style="21" customWidth="1"/>
    <col min="9" max="9" width="6.00390625" style="21" customWidth="1"/>
    <col min="10" max="10" width="2.421875" style="21" customWidth="1"/>
    <col min="11" max="11" width="0.9921875" style="24" customWidth="1"/>
    <col min="12" max="12" width="2.421875" style="21" customWidth="1"/>
    <col min="13" max="13" width="54.7109375" style="25" customWidth="1"/>
    <col min="14" max="14" width="1.57421875" style="25" customWidth="1"/>
    <col min="15" max="15" width="7.421875" style="23" customWidth="1"/>
    <col min="16" max="16" width="5.7109375" style="26" customWidth="1"/>
    <col min="17" max="17" width="1.57421875" style="26" customWidth="1"/>
    <col min="18" max="19" width="5.7109375" style="26" customWidth="1"/>
    <col min="20" max="20" width="1.57421875" style="26" customWidth="1"/>
    <col min="21" max="22" width="5.7109375" style="26" customWidth="1"/>
    <col min="23" max="23" width="0.9921875" style="184" customWidth="1"/>
    <col min="24" max="24" width="12.8515625" style="184" customWidth="1"/>
    <col min="25" max="26" width="10.28125" style="184" customWidth="1"/>
    <col min="27" max="27" width="22.00390625" style="184" customWidth="1"/>
    <col min="28" max="28" width="12.57421875" style="184" customWidth="1"/>
    <col min="29" max="29" width="6.28125" style="184" customWidth="1"/>
    <col min="30" max="30" width="10.140625" style="184" bestFit="1" customWidth="1"/>
    <col min="31" max="31" width="9.00390625" style="184" customWidth="1"/>
    <col min="32" max="32" width="8.8515625" style="184" customWidth="1"/>
    <col min="33" max="33" width="12.57421875" style="184" customWidth="1"/>
    <col min="34" max="34" width="6.28125" style="184" customWidth="1"/>
    <col min="35" max="37" width="6.28125" style="185" customWidth="1"/>
    <col min="38" max="38" width="4.00390625" style="185" customWidth="1"/>
    <col min="39" max="39" width="16.00390625" style="185" customWidth="1"/>
    <col min="40" max="40" width="6.8515625" style="185" customWidth="1"/>
    <col min="41" max="41" width="6.8515625" style="209" customWidth="1"/>
    <col min="42" max="43" width="6.8515625" style="185" customWidth="1"/>
    <col min="44" max="44" width="3.7109375" style="185" customWidth="1"/>
    <col min="45" max="45" width="4.28125" style="210" customWidth="1"/>
    <col min="46" max="46" width="21.140625" style="176" bestFit="1" customWidth="1"/>
    <col min="47" max="47" width="10.57421875" style="176" customWidth="1"/>
    <col min="48" max="48" width="7.7109375" style="176" customWidth="1"/>
    <col min="49" max="49" width="9.00390625" style="176" customWidth="1"/>
    <col min="50" max="50" width="7.8515625" style="176" customWidth="1"/>
    <col min="51" max="51" width="8.7109375" style="176" customWidth="1"/>
    <col min="52" max="52" width="7.28125" style="176" customWidth="1"/>
    <col min="53" max="53" width="6.8515625" style="176" customWidth="1"/>
    <col min="54" max="54" width="9.8515625" style="176" bestFit="1" customWidth="1"/>
    <col min="55" max="55" width="14.421875" style="176" bestFit="1" customWidth="1"/>
    <col min="56" max="62" width="9.140625" style="176" customWidth="1"/>
    <col min="63" max="64" width="9.140625" style="211" customWidth="1"/>
    <col min="65" max="73" width="9.140625" style="184" customWidth="1"/>
    <col min="74" max="75" width="9.140625" style="759" customWidth="1"/>
    <col min="76" max="16384" width="9.140625" style="21" customWidth="1"/>
  </cols>
  <sheetData>
    <row r="1" ht="3" customHeight="1"/>
    <row r="2" spans="2:83" s="27" customFormat="1" ht="21" customHeight="1">
      <c r="B2" s="586" t="s">
        <v>881</v>
      </c>
      <c r="C2" s="586"/>
      <c r="D2" s="586"/>
      <c r="E2" s="586"/>
      <c r="F2" s="586"/>
      <c r="G2" s="586"/>
      <c r="H2" s="586"/>
      <c r="I2" s="586"/>
      <c r="J2" s="586"/>
      <c r="K2" s="586"/>
      <c r="L2" s="586"/>
      <c r="M2" s="586"/>
      <c r="N2" s="586"/>
      <c r="O2" s="586"/>
      <c r="P2" s="586"/>
      <c r="Q2" s="586"/>
      <c r="R2" s="586"/>
      <c r="S2" s="586"/>
      <c r="T2" s="586"/>
      <c r="U2" s="586"/>
      <c r="V2" s="586"/>
      <c r="W2" s="212"/>
      <c r="X2" s="244"/>
      <c r="Y2" s="244"/>
      <c r="Z2" s="244"/>
      <c r="AA2" s="535"/>
      <c r="AB2" s="535"/>
      <c r="AC2" s="535"/>
      <c r="AD2" s="535"/>
      <c r="AE2" s="535"/>
      <c r="AF2" s="535"/>
      <c r="AG2" s="535"/>
      <c r="AH2" s="535"/>
      <c r="AI2" s="535"/>
      <c r="AJ2" s="535"/>
      <c r="AK2" s="535"/>
      <c r="AL2" s="535"/>
      <c r="AM2" s="535"/>
      <c r="AN2" s="535"/>
      <c r="AO2" s="535"/>
      <c r="AP2" s="535"/>
      <c r="AQ2" s="535"/>
      <c r="AR2" s="535"/>
      <c r="AS2" s="535"/>
      <c r="AT2" s="535"/>
      <c r="AU2" s="535"/>
      <c r="AV2" s="535"/>
      <c r="AW2" s="535"/>
      <c r="AX2" s="535"/>
      <c r="AY2" s="185"/>
      <c r="AZ2" s="535"/>
      <c r="BA2" s="535"/>
      <c r="BB2" s="535"/>
      <c r="BC2" s="535"/>
      <c r="BD2" s="535"/>
      <c r="BE2" s="535"/>
      <c r="BF2" s="535"/>
      <c r="BG2" s="535"/>
      <c r="BH2" s="535"/>
      <c r="BI2" s="535"/>
      <c r="BJ2" s="535"/>
      <c r="BK2" s="535"/>
      <c r="BL2" s="535"/>
      <c r="BM2" s="535"/>
      <c r="BN2" s="535"/>
      <c r="BO2" s="535"/>
      <c r="BP2" s="535"/>
      <c r="BQ2" s="535"/>
      <c r="BR2" s="535"/>
      <c r="BS2" s="535"/>
      <c r="BT2" s="535"/>
      <c r="BU2" s="535"/>
      <c r="BV2" s="761"/>
      <c r="BW2" s="761"/>
      <c r="BX2" s="179"/>
      <c r="BY2" s="179"/>
      <c r="BZ2" s="179"/>
      <c r="CA2" s="179"/>
      <c r="CB2" s="179"/>
      <c r="CC2" s="179"/>
      <c r="CD2" s="179"/>
      <c r="CE2" s="179"/>
    </row>
    <row r="3" spans="2:64" ht="3.75" customHeight="1">
      <c r="B3" s="28"/>
      <c r="C3" s="28"/>
      <c r="D3" s="28"/>
      <c r="E3" s="28"/>
      <c r="F3" s="28"/>
      <c r="G3" s="28"/>
      <c r="H3" s="28"/>
      <c r="I3" s="28"/>
      <c r="J3" s="29"/>
      <c r="K3" s="30"/>
      <c r="L3" s="572" t="s">
        <v>627</v>
      </c>
      <c r="M3" s="21"/>
      <c r="N3" s="21"/>
      <c r="O3" s="21"/>
      <c r="P3" s="21"/>
      <c r="Q3" s="21"/>
      <c r="R3" s="21"/>
      <c r="S3" s="21"/>
      <c r="T3" s="21"/>
      <c r="U3" s="21"/>
      <c r="V3" s="21"/>
      <c r="AI3" s="184"/>
      <c r="AJ3" s="184"/>
      <c r="AK3" s="184"/>
      <c r="AL3" s="184"/>
      <c r="AM3" s="184"/>
      <c r="AN3" s="184"/>
      <c r="AO3" s="184"/>
      <c r="AP3" s="184"/>
      <c r="AQ3" s="184"/>
      <c r="AR3" s="184"/>
      <c r="AS3" s="184"/>
      <c r="AT3" s="184"/>
      <c r="AU3" s="184"/>
      <c r="AV3" s="184"/>
      <c r="AW3" s="184"/>
      <c r="AX3" s="184"/>
      <c r="AY3" s="185"/>
      <c r="AZ3" s="184"/>
      <c r="BA3" s="184"/>
      <c r="BB3" s="184"/>
      <c r="BC3" s="184"/>
      <c r="BD3" s="184"/>
      <c r="BE3" s="184"/>
      <c r="BF3" s="184"/>
      <c r="BG3" s="184"/>
      <c r="BH3" s="184"/>
      <c r="BI3" s="184"/>
      <c r="BJ3" s="184"/>
      <c r="BK3" s="184"/>
      <c r="BL3" s="184"/>
    </row>
    <row r="4" spans="2:64" ht="25.5" customHeight="1">
      <c r="B4" s="587" t="s">
        <v>647</v>
      </c>
      <c r="C4" s="587"/>
      <c r="D4" s="587"/>
      <c r="E4" s="587"/>
      <c r="F4" s="587"/>
      <c r="G4" s="587"/>
      <c r="H4" s="587"/>
      <c r="I4" s="587"/>
      <c r="J4" s="571" t="s">
        <v>627</v>
      </c>
      <c r="K4" s="31"/>
      <c r="L4" s="573"/>
      <c r="M4" s="32" t="s">
        <v>305</v>
      </c>
      <c r="N4" s="33"/>
      <c r="O4" s="630" t="s">
        <v>654</v>
      </c>
      <c r="P4" s="630"/>
      <c r="Q4" s="33"/>
      <c r="R4" s="633" t="str">
        <f>E30</f>
        <v>ipotesi  1
FV + PdC ACS</v>
      </c>
      <c r="S4" s="634"/>
      <c r="T4" s="33"/>
      <c r="U4" s="633" t="str">
        <f>G30</f>
        <v>ipotesi 2
FV + Solare termico</v>
      </c>
      <c r="V4" s="634"/>
      <c r="AI4" s="184"/>
      <c r="AJ4" s="184"/>
      <c r="AK4" s="184"/>
      <c r="AL4" s="184"/>
      <c r="AM4" s="184"/>
      <c r="AN4" s="184"/>
      <c r="AO4" s="184"/>
      <c r="AP4" s="184"/>
      <c r="AQ4" s="184"/>
      <c r="AR4" s="184"/>
      <c r="AS4" s="184"/>
      <c r="AT4" s="184"/>
      <c r="AU4" s="184"/>
      <c r="AV4" s="184"/>
      <c r="AW4" s="184"/>
      <c r="AX4" s="184"/>
      <c r="AY4" s="185"/>
      <c r="AZ4" s="184"/>
      <c r="BA4" s="184"/>
      <c r="BB4" s="184"/>
      <c r="BC4" s="184"/>
      <c r="BD4" s="184"/>
      <c r="BE4" s="184"/>
      <c r="BF4" s="184"/>
      <c r="BG4" s="184"/>
      <c r="BH4" s="184"/>
      <c r="BI4" s="184"/>
      <c r="BJ4" s="184"/>
      <c r="BK4" s="184"/>
      <c r="BL4" s="184"/>
    </row>
    <row r="5" spans="2:64" ht="4.5" customHeight="1">
      <c r="B5" s="587"/>
      <c r="C5" s="587"/>
      <c r="D5" s="587"/>
      <c r="E5" s="587"/>
      <c r="F5" s="587"/>
      <c r="G5" s="587"/>
      <c r="H5" s="587"/>
      <c r="I5" s="587"/>
      <c r="J5" s="571"/>
      <c r="K5" s="31"/>
      <c r="L5" s="573"/>
      <c r="M5" s="21"/>
      <c r="N5" s="21"/>
      <c r="O5" s="631"/>
      <c r="P5" s="631"/>
      <c r="Q5" s="25"/>
      <c r="R5" s="635"/>
      <c r="S5" s="635"/>
      <c r="T5" s="25"/>
      <c r="U5" s="635"/>
      <c r="V5" s="635"/>
      <c r="AI5" s="184"/>
      <c r="AJ5" s="184"/>
      <c r="AK5" s="184"/>
      <c r="AL5" s="184"/>
      <c r="AM5" s="184"/>
      <c r="AN5" s="184"/>
      <c r="AO5" s="184"/>
      <c r="AP5" s="184"/>
      <c r="AQ5" s="184"/>
      <c r="AR5" s="184"/>
      <c r="AS5" s="184"/>
      <c r="AT5" s="184"/>
      <c r="AU5" s="184"/>
      <c r="AV5" s="184"/>
      <c r="AW5" s="184"/>
      <c r="AX5" s="184"/>
      <c r="AY5" s="185"/>
      <c r="AZ5" s="184"/>
      <c r="BA5" s="184"/>
      <c r="BB5" s="184"/>
      <c r="BC5" s="184"/>
      <c r="BD5" s="184"/>
      <c r="BE5" s="184"/>
      <c r="BF5" s="184"/>
      <c r="BG5" s="184"/>
      <c r="BH5" s="184"/>
      <c r="BI5" s="184"/>
      <c r="BJ5" s="184"/>
      <c r="BK5" s="184"/>
      <c r="BL5" s="184"/>
    </row>
    <row r="6" spans="2:64" ht="18" customHeight="1">
      <c r="B6" s="588" t="s">
        <v>224</v>
      </c>
      <c r="C6" s="589"/>
      <c r="D6" s="588"/>
      <c r="E6" s="588"/>
      <c r="F6" s="588"/>
      <c r="G6" s="588"/>
      <c r="H6" s="589"/>
      <c r="I6" s="589"/>
      <c r="J6" s="571"/>
      <c r="K6" s="31"/>
      <c r="L6" s="573"/>
      <c r="M6" s="34" t="s">
        <v>619</v>
      </c>
      <c r="N6" s="35"/>
      <c r="O6" s="632"/>
      <c r="P6" s="632"/>
      <c r="Q6" s="35"/>
      <c r="R6" s="636"/>
      <c r="S6" s="636"/>
      <c r="T6" s="35"/>
      <c r="U6" s="636"/>
      <c r="V6" s="636"/>
      <c r="Y6" s="245" t="s">
        <v>220</v>
      </c>
      <c r="Z6" s="245"/>
      <c r="AA6" s="246"/>
      <c r="AB6" s="246"/>
      <c r="AI6" s="184"/>
      <c r="AJ6" s="184"/>
      <c r="AK6" s="184"/>
      <c r="AL6" s="176">
        <v>4</v>
      </c>
      <c r="AM6" s="184" t="str">
        <f>VLOOKUP(AL6,$AL$8:$AN$13,2,)</f>
        <v>       Radiatori</v>
      </c>
      <c r="AN6" s="213">
        <f>VLOOKUP(AL6,$AL$8:$AN$13,3,)</f>
        <v>2.5</v>
      </c>
      <c r="AO6" s="184" t="str">
        <f>VLOOKUP(AL6,$AL$8:$AO$13,4,)</f>
        <v>a termosifoni</v>
      </c>
      <c r="AP6" s="184"/>
      <c r="AQ6" s="184"/>
      <c r="AR6" s="184"/>
      <c r="AS6" s="184"/>
      <c r="AT6" s="184"/>
      <c r="AU6" s="184"/>
      <c r="AV6" s="184"/>
      <c r="AW6" s="184"/>
      <c r="AX6" s="184"/>
      <c r="AY6" s="185"/>
      <c r="AZ6" s="184"/>
      <c r="BA6" s="184"/>
      <c r="BB6" s="184"/>
      <c r="BC6" s="184"/>
      <c r="BD6" s="184"/>
      <c r="BE6" s="184"/>
      <c r="BF6" s="184"/>
      <c r="BG6" s="184"/>
      <c r="BH6" s="184"/>
      <c r="BI6" s="184"/>
      <c r="BJ6" s="184"/>
      <c r="BK6" s="184"/>
      <c r="BL6" s="184"/>
    </row>
    <row r="7" spans="2:75" s="19" customFormat="1" ht="1.5" customHeight="1">
      <c r="B7" s="36"/>
      <c r="C7" s="36"/>
      <c r="D7" s="36"/>
      <c r="E7" s="36"/>
      <c r="F7" s="36"/>
      <c r="G7" s="36"/>
      <c r="H7" s="36"/>
      <c r="I7" s="36"/>
      <c r="J7" s="571"/>
      <c r="K7" s="31"/>
      <c r="L7" s="573"/>
      <c r="M7" s="37"/>
      <c r="N7" s="38"/>
      <c r="O7" s="39"/>
      <c r="P7" s="39"/>
      <c r="Q7" s="38"/>
      <c r="R7" s="39"/>
      <c r="S7" s="39"/>
      <c r="T7" s="38"/>
      <c r="U7" s="39"/>
      <c r="V7" s="39"/>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5"/>
      <c r="AZ7" s="184"/>
      <c r="BA7" s="184"/>
      <c r="BB7" s="184"/>
      <c r="BC7" s="184"/>
      <c r="BD7" s="184"/>
      <c r="BE7" s="184"/>
      <c r="BF7" s="184"/>
      <c r="BG7" s="184"/>
      <c r="BH7" s="184"/>
      <c r="BI7" s="184"/>
      <c r="BJ7" s="184"/>
      <c r="BK7" s="184"/>
      <c r="BL7" s="184"/>
      <c r="BM7" s="184"/>
      <c r="BN7" s="184"/>
      <c r="BO7" s="184"/>
      <c r="BP7" s="184"/>
      <c r="BQ7" s="184"/>
      <c r="BR7" s="184"/>
      <c r="BS7" s="184"/>
      <c r="BT7" s="184"/>
      <c r="BU7" s="184"/>
      <c r="BV7" s="759"/>
      <c r="BW7" s="759"/>
    </row>
    <row r="8" spans="2:64" ht="15" customHeight="1" thickBot="1">
      <c r="B8" s="40" t="s">
        <v>49</v>
      </c>
      <c r="C8" s="41"/>
      <c r="D8" s="42"/>
      <c r="E8" s="590" t="s">
        <v>225</v>
      </c>
      <c r="F8" s="590"/>
      <c r="G8" s="590"/>
      <c r="H8" s="596"/>
      <c r="I8" s="596"/>
      <c r="J8" s="571"/>
      <c r="K8" s="31"/>
      <c r="L8" s="573"/>
      <c r="M8" s="43" t="s">
        <v>566</v>
      </c>
      <c r="N8" s="44"/>
      <c r="O8" s="637"/>
      <c r="P8" s="580"/>
      <c r="Q8" s="29"/>
      <c r="R8" s="557">
        <f>B!B4</f>
        <v>13590.643152676796</v>
      </c>
      <c r="S8" s="557"/>
      <c r="T8" s="29"/>
      <c r="U8" s="557">
        <f>B!D4</f>
        <v>15590.643152676796</v>
      </c>
      <c r="V8" s="557"/>
      <c r="X8" s="185"/>
      <c r="Y8" s="228" t="s">
        <v>218</v>
      </c>
      <c r="Z8" s="228"/>
      <c r="AA8" s="185"/>
      <c r="AB8" s="218">
        <f>E27+1</f>
        <v>13</v>
      </c>
      <c r="AD8" s="214"/>
      <c r="AE8" s="215"/>
      <c r="AI8" s="184"/>
      <c r="AJ8" s="184"/>
      <c r="AK8" s="184"/>
      <c r="AL8" s="176"/>
      <c r="AM8" s="177" t="s">
        <v>163</v>
      </c>
      <c r="AN8" s="176"/>
      <c r="AO8" s="184"/>
      <c r="AP8" s="184"/>
      <c r="AQ8" s="184"/>
      <c r="AR8" s="184"/>
      <c r="AS8" s="185">
        <v>2</v>
      </c>
      <c r="AT8" s="184" t="str">
        <f>VLOOKUP(AS8,$AS$9:$AV$13,2,)</f>
        <v>         Metano</v>
      </c>
      <c r="AU8" s="185">
        <f>VLOOKUP(AS8,$AS$9:$AW$14,3,)</f>
        <v>0.091</v>
      </c>
      <c r="AV8" s="213">
        <f>VLOOKUP(AS8,$AS$9:$AW$14,4,)</f>
        <v>0.3</v>
      </c>
      <c r="AW8" s="185">
        <f>VLOOKUP(AS8,$AS$9:$AW$14,5,)</f>
        <v>0.025</v>
      </c>
      <c r="AX8" s="184" t="str">
        <f>VLOOKUP(AS8,$AS$9:$AX$14,6,)</f>
        <v>Metano</v>
      </c>
      <c r="AY8" s="184"/>
      <c r="AZ8" s="184"/>
      <c r="BA8" s="184"/>
      <c r="BB8" s="216" t="s">
        <v>191</v>
      </c>
      <c r="BC8" s="184" t="str">
        <f>IF(E16&gt;0,BB8,BD8)</f>
        <v>FV</v>
      </c>
      <c r="BD8" s="184" t="s">
        <v>201</v>
      </c>
      <c r="BE8" s="184" t="str">
        <f>"Costo "&amp;BC8&amp;" "&amp;BC9&amp;" "&amp;BC10&amp;" "&amp;BC11&amp;" "&amp;BC12&amp;" "&amp;BC13&amp;""</f>
        <v>Costo FV + PdC        </v>
      </c>
      <c r="BF8" s="184"/>
      <c r="BG8" s="184"/>
      <c r="BH8" s="217"/>
      <c r="BI8" s="184"/>
      <c r="BJ8" s="184"/>
      <c r="BK8" s="184"/>
      <c r="BL8" s="184"/>
    </row>
    <row r="9" spans="2:64" ht="16.5" customHeight="1" thickBot="1" thickTop="1">
      <c r="B9" s="45" t="s">
        <v>226</v>
      </c>
      <c r="C9" s="12">
        <v>4</v>
      </c>
      <c r="D9" s="42"/>
      <c r="E9" s="590" t="s">
        <v>227</v>
      </c>
      <c r="F9" s="590"/>
      <c r="G9" s="590"/>
      <c r="H9" s="601"/>
      <c r="I9" s="602"/>
      <c r="J9" s="571"/>
      <c r="K9" s="31"/>
      <c r="L9" s="573"/>
      <c r="M9" s="48" t="s">
        <v>229</v>
      </c>
      <c r="N9" s="44"/>
      <c r="O9" s="637"/>
      <c r="P9" s="580"/>
      <c r="Q9" s="29"/>
      <c r="R9" s="557">
        <f>B!B11</f>
        <v>6418.59539082288</v>
      </c>
      <c r="S9" s="557"/>
      <c r="T9" s="29"/>
      <c r="U9" s="557">
        <f>B!D11</f>
        <v>7363.156338927631</v>
      </c>
      <c r="V9" s="557"/>
      <c r="X9" s="185"/>
      <c r="Y9" s="527">
        <f>C!F3</f>
        <v>2218.128630535359</v>
      </c>
      <c r="Z9" s="527"/>
      <c r="AA9" s="209" t="s">
        <v>212</v>
      </c>
      <c r="AB9" s="209"/>
      <c r="AC9" s="185"/>
      <c r="AD9" s="214"/>
      <c r="AI9" s="184"/>
      <c r="AJ9" s="184"/>
      <c r="AK9" s="184"/>
      <c r="AL9" s="176">
        <v>1</v>
      </c>
      <c r="AM9" s="218" t="s">
        <v>684</v>
      </c>
      <c r="AN9" s="213">
        <v>3</v>
      </c>
      <c r="AO9" s="184" t="s">
        <v>779</v>
      </c>
      <c r="AP9" s="184"/>
      <c r="AQ9" s="184"/>
      <c r="AR9" s="184"/>
      <c r="AS9" s="185"/>
      <c r="AT9" s="177" t="s">
        <v>476</v>
      </c>
      <c r="AU9" s="185" t="s">
        <v>60</v>
      </c>
      <c r="AV9" s="185" t="s">
        <v>474</v>
      </c>
      <c r="AW9" s="185" t="s">
        <v>475</v>
      </c>
      <c r="AX9" s="184"/>
      <c r="AY9" s="184"/>
      <c r="AZ9" s="184"/>
      <c r="BA9" s="184"/>
      <c r="BB9" s="216" t="s">
        <v>192</v>
      </c>
      <c r="BC9" s="184" t="str">
        <f>IF(A102&gt;1,BB9,BD9)</f>
        <v>+ PdC</v>
      </c>
      <c r="BD9" s="184" t="s">
        <v>201</v>
      </c>
      <c r="BE9" s="184"/>
      <c r="BF9" s="184"/>
      <c r="BG9" s="184"/>
      <c r="BH9" s="219"/>
      <c r="BI9" s="184"/>
      <c r="BJ9" s="184"/>
      <c r="BK9" s="184"/>
      <c r="BL9" s="184"/>
    </row>
    <row r="10" spans="2:64" ht="16.5" customHeight="1" thickBot="1">
      <c r="B10" s="47" t="s">
        <v>564</v>
      </c>
      <c r="C10" s="13">
        <v>140</v>
      </c>
      <c r="D10" s="42"/>
      <c r="E10" s="591" t="s">
        <v>228</v>
      </c>
      <c r="F10" s="591"/>
      <c r="G10" s="591"/>
      <c r="H10" s="599">
        <v>1600</v>
      </c>
      <c r="I10" s="603"/>
      <c r="J10" s="571"/>
      <c r="K10" s="31"/>
      <c r="L10" s="573"/>
      <c r="M10" s="46" t="s">
        <v>567</v>
      </c>
      <c r="N10" s="44"/>
      <c r="O10" s="638"/>
      <c r="P10" s="639"/>
      <c r="Q10" s="29"/>
      <c r="R10" s="557">
        <f>1!W155</f>
        <v>5826.6294631171695</v>
      </c>
      <c r="S10" s="557"/>
      <c r="T10" s="29"/>
      <c r="U10" s="557">
        <f>2!W155</f>
        <v>5826.6294631171695</v>
      </c>
      <c r="V10" s="557"/>
      <c r="X10" s="185"/>
      <c r="Y10" s="527">
        <f>C!F4</f>
        <v>11090.643152676796</v>
      </c>
      <c r="Z10" s="527"/>
      <c r="AA10" s="209" t="s">
        <v>213</v>
      </c>
      <c r="AB10" s="209"/>
      <c r="AD10" s="220"/>
      <c r="AI10" s="184"/>
      <c r="AJ10" s="184"/>
      <c r="AK10" s="184"/>
      <c r="AL10" s="176">
        <v>2</v>
      </c>
      <c r="AM10" s="218" t="s">
        <v>685</v>
      </c>
      <c r="AN10" s="213">
        <v>2.9</v>
      </c>
      <c r="AO10" s="184" t="s">
        <v>780</v>
      </c>
      <c r="AP10" s="184"/>
      <c r="AQ10" s="184"/>
      <c r="AR10" s="184"/>
      <c r="AS10" s="185">
        <v>1</v>
      </c>
      <c r="AT10" s="209" t="s">
        <v>682</v>
      </c>
      <c r="AU10" s="221">
        <v>0.2</v>
      </c>
      <c r="AV10" s="185">
        <v>0.53</v>
      </c>
      <c r="AW10" s="185">
        <v>0.041</v>
      </c>
      <c r="AX10" s="184"/>
      <c r="AY10" s="184"/>
      <c r="AZ10" s="184"/>
      <c r="BA10" s="184"/>
      <c r="BB10" s="216" t="s">
        <v>193</v>
      </c>
      <c r="BC10" s="184" t="str">
        <f>IF(AS26&gt;1,BB10,BD10)</f>
        <v> </v>
      </c>
      <c r="BD10" s="184" t="s">
        <v>201</v>
      </c>
      <c r="BE10" s="222"/>
      <c r="BF10" s="222"/>
      <c r="BG10" s="222"/>
      <c r="BH10" s="184"/>
      <c r="BI10" s="184"/>
      <c r="BJ10" s="184"/>
      <c r="BK10" s="184"/>
      <c r="BL10" s="184"/>
    </row>
    <row r="11" spans="2:64" ht="16.5" customHeight="1" thickBot="1">
      <c r="B11" s="49" t="s">
        <v>230</v>
      </c>
      <c r="C11" s="14">
        <v>3</v>
      </c>
      <c r="D11" s="42"/>
      <c r="E11" s="592" t="s">
        <v>258</v>
      </c>
      <c r="F11" s="592"/>
      <c r="G11" s="592"/>
      <c r="H11" s="601"/>
      <c r="I11" s="602"/>
      <c r="J11" s="571"/>
      <c r="K11" s="31"/>
      <c r="L11" s="573"/>
      <c r="M11" s="50" t="s">
        <v>306</v>
      </c>
      <c r="N11" s="44"/>
      <c r="O11" s="625">
        <f>A!E98+D!H9</f>
        <v>32000</v>
      </c>
      <c r="P11" s="625"/>
      <c r="Q11" s="29"/>
      <c r="R11" s="595">
        <f>IF(X11&lt;0,0,X11)</f>
        <v>27632</v>
      </c>
      <c r="S11" s="595"/>
      <c r="T11" s="29"/>
      <c r="U11" s="557">
        <f>IF(X12&lt;0,0,X12)</f>
        <v>28942.4</v>
      </c>
      <c r="V11" s="557"/>
      <c r="X11" s="528">
        <f>O11-A!H145-D!H9</f>
        <v>27632</v>
      </c>
      <c r="Y11" s="527">
        <f>A!G7</f>
        <v>1100</v>
      </c>
      <c r="Z11" s="527"/>
      <c r="AA11" s="209" t="s">
        <v>214</v>
      </c>
      <c r="AB11" s="185"/>
      <c r="AI11" s="184"/>
      <c r="AJ11" s="184"/>
      <c r="AK11" s="184"/>
      <c r="AL11" s="176">
        <v>3</v>
      </c>
      <c r="AM11" s="218" t="s">
        <v>686</v>
      </c>
      <c r="AN11" s="213">
        <v>2.8</v>
      </c>
      <c r="AO11" s="184" t="s">
        <v>781</v>
      </c>
      <c r="AP11" s="184"/>
      <c r="AQ11" s="184"/>
      <c r="AR11" s="184"/>
      <c r="AS11" s="185">
        <v>2</v>
      </c>
      <c r="AT11" s="209" t="s">
        <v>678</v>
      </c>
      <c r="AU11" s="221">
        <v>0.091</v>
      </c>
      <c r="AV11" s="213">
        <v>0.3</v>
      </c>
      <c r="AW11" s="185">
        <v>0.025</v>
      </c>
      <c r="AX11" s="184" t="s">
        <v>754</v>
      </c>
      <c r="AY11" s="184"/>
      <c r="AZ11" s="184"/>
      <c r="BA11" s="184"/>
      <c r="BB11" s="216" t="s">
        <v>194</v>
      </c>
      <c r="BC11" s="184" t="str">
        <f>IF(A62&gt;1,BB11,BD11)</f>
        <v> </v>
      </c>
      <c r="BD11" s="184" t="str">
        <f>BD10</f>
        <v> </v>
      </c>
      <c r="BE11" s="216" t="s">
        <v>195</v>
      </c>
      <c r="BF11" s="184"/>
      <c r="BG11" s="184"/>
      <c r="BH11" s="219"/>
      <c r="BI11" s="184"/>
      <c r="BJ11" s="184"/>
      <c r="BK11" s="184"/>
      <c r="BL11" s="184"/>
    </row>
    <row r="12" spans="2:64" ht="16.5" customHeight="1" thickBot="1">
      <c r="B12" s="45" t="s">
        <v>231</v>
      </c>
      <c r="C12" s="13">
        <v>3500</v>
      </c>
      <c r="D12" s="42"/>
      <c r="E12" s="592" t="s">
        <v>259</v>
      </c>
      <c r="F12" s="592"/>
      <c r="G12" s="592"/>
      <c r="H12" s="599">
        <v>0</v>
      </c>
      <c r="I12" s="600"/>
      <c r="J12" s="571"/>
      <c r="K12" s="31"/>
      <c r="L12" s="573"/>
      <c r="M12" s="48" t="s">
        <v>232</v>
      </c>
      <c r="N12" s="44"/>
      <c r="O12" s="581">
        <f>IF(C12=0,0,O13)</f>
        <v>15593.41762</v>
      </c>
      <c r="P12" s="581"/>
      <c r="Q12" s="29"/>
      <c r="R12" s="557">
        <f>A!H191</f>
        <v>10876.408789950001</v>
      </c>
      <c r="S12" s="595"/>
      <c r="T12" s="29"/>
      <c r="U12" s="557">
        <f>A!K191</f>
        <v>10163.566841607144</v>
      </c>
      <c r="V12" s="557"/>
      <c r="X12" s="528">
        <f>O11-A!K145-D!K9</f>
        <v>28942.4</v>
      </c>
      <c r="Y12" s="527">
        <f>A!H119</f>
        <v>2500</v>
      </c>
      <c r="Z12" s="527"/>
      <c r="AA12" s="209" t="s">
        <v>216</v>
      </c>
      <c r="AB12" s="185"/>
      <c r="AG12" s="194"/>
      <c r="AI12" s="184"/>
      <c r="AJ12" s="184"/>
      <c r="AK12" s="184"/>
      <c r="AL12" s="176">
        <v>4</v>
      </c>
      <c r="AM12" s="218" t="s">
        <v>677</v>
      </c>
      <c r="AN12" s="223">
        <v>2.5</v>
      </c>
      <c r="AO12" s="184" t="s">
        <v>783</v>
      </c>
      <c r="AP12" s="184"/>
      <c r="AQ12" s="184"/>
      <c r="AR12" s="184"/>
      <c r="AS12" s="185">
        <v>3</v>
      </c>
      <c r="AT12" s="209" t="s">
        <v>687</v>
      </c>
      <c r="AU12" s="221">
        <v>0.115</v>
      </c>
      <c r="AV12" s="185">
        <v>0.31</v>
      </c>
      <c r="AW12" s="185">
        <v>0.026</v>
      </c>
      <c r="AX12" s="184" t="s">
        <v>755</v>
      </c>
      <c r="AY12" s="184"/>
      <c r="AZ12" s="184"/>
      <c r="BA12" s="184"/>
      <c r="BB12" s="209"/>
      <c r="BC12" s="184" t="str">
        <f>IF(A70=1,BD12,IF(A70=2,BE11,IF(A70=3,BE11,IF(A70=4,BE12,IF(A70=5,BE13)))))</f>
        <v> </v>
      </c>
      <c r="BD12" s="184" t="str">
        <f>BD11</f>
        <v> </v>
      </c>
      <c r="BE12" s="216" t="s">
        <v>196</v>
      </c>
      <c r="BF12" s="184"/>
      <c r="BG12" s="184"/>
      <c r="BH12" s="184"/>
      <c r="BI12" s="184"/>
      <c r="BJ12" s="184"/>
      <c r="BK12" s="184"/>
      <c r="BL12" s="184"/>
    </row>
    <row r="13" spans="2:64" ht="16.5" customHeight="1">
      <c r="B13" s="51"/>
      <c r="C13" s="52"/>
      <c r="D13" s="53"/>
      <c r="E13" s="51"/>
      <c r="F13" s="549"/>
      <c r="G13" s="550"/>
      <c r="H13" s="54">
        <f>D!J26</f>
        <v>132</v>
      </c>
      <c r="I13" s="55"/>
      <c r="J13" s="571"/>
      <c r="K13" s="31"/>
      <c r="L13" s="573"/>
      <c r="M13" s="172" t="s">
        <v>837</v>
      </c>
      <c r="N13" s="44"/>
      <c r="O13" s="619">
        <f>E!W10*E29</f>
        <v>15593.41762</v>
      </c>
      <c r="P13" s="619"/>
      <c r="Q13" s="29"/>
      <c r="R13" s="557">
        <f>1!CC155-(O11-R11+O12-R12)</f>
        <v>11380.251853889069</v>
      </c>
      <c r="S13" s="557"/>
      <c r="T13" s="29"/>
      <c r="U13" s="557">
        <f>2!CC155-(O11-U11+O12-U12)</f>
        <v>13506.81448022551</v>
      </c>
      <c r="V13" s="557"/>
      <c r="X13" s="185"/>
      <c r="Y13" s="200">
        <f>A!H18</f>
        <v>0.3482142857142857</v>
      </c>
      <c r="Z13" s="200"/>
      <c r="AA13" s="209" t="s">
        <v>223</v>
      </c>
      <c r="AB13" s="185"/>
      <c r="AI13" s="184"/>
      <c r="AJ13" s="184"/>
      <c r="AK13" s="184"/>
      <c r="AL13" s="176">
        <v>5</v>
      </c>
      <c r="AM13" s="218" t="s">
        <v>683</v>
      </c>
      <c r="AN13" s="213">
        <v>3.1</v>
      </c>
      <c r="AO13" s="184" t="s">
        <v>782</v>
      </c>
      <c r="AP13" s="184"/>
      <c r="AQ13" s="184"/>
      <c r="AR13" s="184"/>
      <c r="AS13" s="185">
        <v>4</v>
      </c>
      <c r="AT13" s="209" t="s">
        <v>680</v>
      </c>
      <c r="AU13" s="221">
        <v>0.14</v>
      </c>
      <c r="AV13" s="213">
        <v>0.6</v>
      </c>
      <c r="AW13" s="185">
        <v>0.045</v>
      </c>
      <c r="AX13" s="184" t="s">
        <v>756</v>
      </c>
      <c r="AY13" s="184"/>
      <c r="AZ13" s="184"/>
      <c r="BA13" s="184"/>
      <c r="BB13" s="216" t="s">
        <v>198</v>
      </c>
      <c r="BC13" s="184" t="str">
        <f>IF(AS31&gt;1,BB13,BD13)</f>
        <v> </v>
      </c>
      <c r="BD13" s="184" t="str">
        <f>BD12</f>
        <v> </v>
      </c>
      <c r="BE13" s="216" t="s">
        <v>197</v>
      </c>
      <c r="BF13" s="184"/>
      <c r="BG13" s="184"/>
      <c r="BH13" s="184"/>
      <c r="BI13" s="184"/>
      <c r="BJ13" s="184"/>
      <c r="BK13" s="184"/>
      <c r="BL13" s="184"/>
    </row>
    <row r="14" spans="2:64" ht="16.5" customHeight="1">
      <c r="B14" s="57" t="s">
        <v>233</v>
      </c>
      <c r="C14" s="58"/>
      <c r="D14" s="58"/>
      <c r="E14" s="59" t="s">
        <v>248</v>
      </c>
      <c r="F14" s="33"/>
      <c r="G14" s="60"/>
      <c r="H14" s="59" t="s">
        <v>249</v>
      </c>
      <c r="I14" s="60"/>
      <c r="J14" s="571"/>
      <c r="K14" s="31"/>
      <c r="L14" s="573"/>
      <c r="M14" s="56" t="s">
        <v>234</v>
      </c>
      <c r="N14" s="44"/>
      <c r="O14" s="604"/>
      <c r="P14" s="605"/>
      <c r="Q14" s="29"/>
      <c r="R14" s="557">
        <f>A!H44</f>
        <v>6920.321576338398</v>
      </c>
      <c r="S14" s="557"/>
      <c r="T14" s="29"/>
      <c r="U14" s="557">
        <f>A!K44</f>
        <v>8020.321576338398</v>
      </c>
      <c r="V14" s="557"/>
      <c r="X14" s="185"/>
      <c r="Y14" s="185"/>
      <c r="Z14" s="185"/>
      <c r="AA14" s="185"/>
      <c r="AB14" s="185"/>
      <c r="AI14" s="184"/>
      <c r="AJ14" s="184"/>
      <c r="AK14" s="184"/>
      <c r="AL14" s="184"/>
      <c r="AM14" s="184"/>
      <c r="AN14" s="184"/>
      <c r="AO14" s="184"/>
      <c r="AP14" s="184"/>
      <c r="AQ14" s="184"/>
      <c r="AR14" s="184"/>
      <c r="AS14" s="185">
        <v>5</v>
      </c>
      <c r="AT14" s="209" t="s">
        <v>681</v>
      </c>
      <c r="AU14" s="221" t="e">
        <f>BE16/BD16</f>
        <v>#DIV/0!</v>
      </c>
      <c r="AV14" s="185">
        <v>0.5</v>
      </c>
      <c r="AW14" s="185">
        <v>0.05</v>
      </c>
      <c r="AX14" s="184" t="s">
        <v>694</v>
      </c>
      <c r="AY14" s="185"/>
      <c r="AZ14" s="184"/>
      <c r="BA14" s="184"/>
      <c r="BB14" s="184"/>
      <c r="BC14" s="184"/>
      <c r="BD14" s="184"/>
      <c r="BE14" s="184"/>
      <c r="BF14" s="184"/>
      <c r="BG14" s="184"/>
      <c r="BH14" s="184"/>
      <c r="BI14" s="184"/>
      <c r="BJ14" s="184"/>
      <c r="BK14" s="184"/>
      <c r="BL14" s="184"/>
    </row>
    <row r="15" spans="2:75" s="19" customFormat="1" ht="1.5" customHeight="1" thickBot="1">
      <c r="B15" s="33"/>
      <c r="C15" s="33"/>
      <c r="D15" s="33"/>
      <c r="E15" s="61"/>
      <c r="F15" s="62"/>
      <c r="G15" s="63"/>
      <c r="H15" s="63"/>
      <c r="I15" s="63"/>
      <c r="J15" s="571"/>
      <c r="K15" s="31"/>
      <c r="L15" s="573"/>
      <c r="M15" s="64"/>
      <c r="N15" s="64"/>
      <c r="O15" s="65"/>
      <c r="P15" s="65"/>
      <c r="Q15" s="64"/>
      <c r="R15" s="582"/>
      <c r="S15" s="582"/>
      <c r="T15" s="64"/>
      <c r="U15" s="66"/>
      <c r="V15" s="67"/>
      <c r="W15" s="184"/>
      <c r="X15" s="185"/>
      <c r="Y15" s="185"/>
      <c r="Z15" s="185"/>
      <c r="AA15" s="185"/>
      <c r="AB15" s="185"/>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5"/>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759"/>
      <c r="BW15" s="759"/>
    </row>
    <row r="16" spans="2:64" ht="15" customHeight="1" thickBot="1">
      <c r="B16" s="590" t="s">
        <v>235</v>
      </c>
      <c r="C16" s="590"/>
      <c r="D16" s="590"/>
      <c r="E16" s="15">
        <v>5</v>
      </c>
      <c r="F16" s="64"/>
      <c r="G16" s="597">
        <v>5</v>
      </c>
      <c r="H16" s="598"/>
      <c r="I16" s="598"/>
      <c r="J16" s="571"/>
      <c r="K16" s="31"/>
      <c r="L16" s="573"/>
      <c r="M16" s="68" t="s">
        <v>636</v>
      </c>
      <c r="N16" s="44"/>
      <c r="O16" s="625">
        <f>1!D155-Simulatore!O11-Simulatore!O12</f>
        <v>37044.08987218046</v>
      </c>
      <c r="P16" s="625"/>
      <c r="Q16" s="29"/>
      <c r="R16" s="557">
        <f>IF(X16&lt;0,0,X16)</f>
        <v>22976.34492227832</v>
      </c>
      <c r="S16" s="557"/>
      <c r="T16" s="29"/>
      <c r="U16" s="557">
        <f>IF(X17&lt;0,0,X17)</f>
        <v>22227.256274706186</v>
      </c>
      <c r="V16" s="557"/>
      <c r="X16" s="224">
        <f>O16-1!CC156</f>
        <v>22976.34492227832</v>
      </c>
      <c r="Y16" s="185"/>
      <c r="Z16" s="185"/>
      <c r="AA16" s="185"/>
      <c r="AB16" s="185"/>
      <c r="AI16" s="184"/>
      <c r="AJ16" s="184"/>
      <c r="AK16" s="184"/>
      <c r="AL16" s="176">
        <v>20</v>
      </c>
      <c r="AM16" s="184" t="str">
        <f>VLOOKUP(AL16,$AL$17:$AP$37,2,)</f>
        <v>         Veneto</v>
      </c>
      <c r="AN16" s="225">
        <f>VLOOKUP(AL16,$AL$17:$AP$37,3,)</f>
        <v>1100</v>
      </c>
      <c r="AO16" s="226">
        <f>VLOOKUP(AL16,$AL$17:$AO$37,4,)</f>
        <v>0</v>
      </c>
      <c r="AP16" s="223">
        <f>VLOOKUP(AL16,$AL$17:$AP$37,5,)</f>
        <v>0</v>
      </c>
      <c r="AQ16" s="227">
        <f>VLOOKUP(AL16,$AL$17:$AQ$37,6,)</f>
        <v>0.06</v>
      </c>
      <c r="AR16" s="225"/>
      <c r="AS16" s="184"/>
      <c r="AT16" s="184"/>
      <c r="AU16" s="185" t="s">
        <v>731</v>
      </c>
      <c r="AV16" s="185" t="s">
        <v>732</v>
      </c>
      <c r="AW16" s="185" t="s">
        <v>733</v>
      </c>
      <c r="AX16" s="184"/>
      <c r="AY16" s="184"/>
      <c r="AZ16" s="184"/>
      <c r="BA16" s="184"/>
      <c r="BB16" s="185">
        <v>1</v>
      </c>
      <c r="BC16" s="176">
        <f>H12*BD16</f>
        <v>0</v>
      </c>
      <c r="BD16" s="185">
        <f>VLOOKUP(BB16,$BB$17:$BD$22,3,)</f>
        <v>0</v>
      </c>
      <c r="BE16" s="184">
        <f>VLOOKUP(BB16,$BB$17:$BE$22,4,)</f>
        <v>0</v>
      </c>
      <c r="BF16" s="184" t="str">
        <f>VLOOKUP(BB16,$BB$17:$BF$22,5,)</f>
        <v>Legna</v>
      </c>
      <c r="BG16" s="184"/>
      <c r="BH16" s="184"/>
      <c r="BI16" s="184"/>
      <c r="BJ16" s="184"/>
      <c r="BK16" s="184"/>
      <c r="BL16" s="184"/>
    </row>
    <row r="17" spans="2:64" ht="16.5" customHeight="1" thickBot="1">
      <c r="B17" s="608" t="s">
        <v>236</v>
      </c>
      <c r="C17" s="608"/>
      <c r="D17" s="608"/>
      <c r="E17" s="69">
        <v>3</v>
      </c>
      <c r="F17" s="70"/>
      <c r="G17" s="583"/>
      <c r="H17" s="584"/>
      <c r="I17" s="584"/>
      <c r="J17" s="571"/>
      <c r="K17" s="31"/>
      <c r="L17" s="573"/>
      <c r="M17" s="71" t="str">
        <f>"TOTALE COSTO nei "&amp;E29&amp;" anni"</f>
        <v>TOTALE COSTO nei 20 anni</v>
      </c>
      <c r="N17" s="44"/>
      <c r="O17" s="610">
        <f>O11+O12+O16</f>
        <v>84637.50749218046</v>
      </c>
      <c r="P17" s="611"/>
      <c r="Q17" s="72"/>
      <c r="R17" s="620">
        <f>1!BR155</f>
        <v>69020.04828861768</v>
      </c>
      <c r="S17" s="628"/>
      <c r="T17" s="73"/>
      <c r="U17" s="620">
        <f>2!BR155</f>
        <v>68586.51601447102</v>
      </c>
      <c r="V17" s="620"/>
      <c r="X17" s="528">
        <f>O16-2!CC156</f>
        <v>22227.256274706186</v>
      </c>
      <c r="Y17" s="228" t="s">
        <v>219</v>
      </c>
      <c r="Z17" s="228"/>
      <c r="AA17" s="229"/>
      <c r="AB17" s="229" t="s">
        <v>221</v>
      </c>
      <c r="AI17" s="184"/>
      <c r="AJ17" s="184"/>
      <c r="AK17" s="184"/>
      <c r="AL17" s="210"/>
      <c r="AM17" s="177" t="s">
        <v>49</v>
      </c>
      <c r="AN17" s="176"/>
      <c r="AO17" s="176"/>
      <c r="AP17" s="176"/>
      <c r="AQ17" s="176"/>
      <c r="AR17" s="176"/>
      <c r="AS17" s="184"/>
      <c r="AT17" s="197" t="s">
        <v>735</v>
      </c>
      <c r="AU17" s="213">
        <v>0.9</v>
      </c>
      <c r="AV17" s="213">
        <v>9.4</v>
      </c>
      <c r="AW17" s="213">
        <f>AU17/AV17</f>
        <v>0.09574468085106383</v>
      </c>
      <c r="AX17" s="184"/>
      <c r="AY17" s="184"/>
      <c r="AZ17" s="184"/>
      <c r="BA17" s="184"/>
      <c r="BB17" s="185"/>
      <c r="BC17" s="229" t="s">
        <v>265</v>
      </c>
      <c r="BD17" s="185"/>
      <c r="BE17" s="184"/>
      <c r="BF17" s="184"/>
      <c r="BG17" s="184"/>
      <c r="BH17" s="184"/>
      <c r="BI17" s="184"/>
      <c r="BJ17" s="184"/>
      <c r="BK17" s="184"/>
      <c r="BL17" s="184"/>
    </row>
    <row r="18" spans="2:64" ht="16.5" customHeight="1" thickBot="1">
      <c r="B18" s="609" t="s">
        <v>343</v>
      </c>
      <c r="C18" s="609"/>
      <c r="D18" s="609"/>
      <c r="E18" s="74"/>
      <c r="F18" s="70"/>
      <c r="G18" s="583"/>
      <c r="H18" s="584"/>
      <c r="I18" s="584"/>
      <c r="J18" s="571"/>
      <c r="K18" s="31"/>
      <c r="L18" s="573"/>
      <c r="M18" s="576" t="str">
        <f>"VANTAGGI ECONOMICI NEI "&amp;E29&amp;" ANNI"</f>
        <v>VANTAGGI ECONOMICI NEI 20 ANNI</v>
      </c>
      <c r="N18" s="623"/>
      <c r="O18" s="624"/>
      <c r="P18" s="624"/>
      <c r="Q18" s="623"/>
      <c r="R18" s="624"/>
      <c r="S18" s="624"/>
      <c r="T18" s="623"/>
      <c r="U18" s="624"/>
      <c r="V18" s="624"/>
      <c r="X18" s="185"/>
      <c r="Y18" s="230">
        <f>AB18</f>
        <v>1100</v>
      </c>
      <c r="Z18" s="230"/>
      <c r="AA18" s="528" t="s">
        <v>215</v>
      </c>
      <c r="AB18" s="230">
        <f>AN16</f>
        <v>1100</v>
      </c>
      <c r="AI18" s="184"/>
      <c r="AJ18" s="184"/>
      <c r="AK18" s="184"/>
      <c r="AL18" s="527">
        <v>1</v>
      </c>
      <c r="AM18" s="218" t="s">
        <v>267</v>
      </c>
      <c r="AN18" s="225">
        <v>1225</v>
      </c>
      <c r="AO18" s="176">
        <v>100</v>
      </c>
      <c r="AP18" s="213">
        <v>0.1</v>
      </c>
      <c r="AQ18" s="227">
        <v>0.07</v>
      </c>
      <c r="AR18" s="202"/>
      <c r="AS18" s="184"/>
      <c r="AT18" s="197" t="s">
        <v>734</v>
      </c>
      <c r="AU18" s="213">
        <v>0.85</v>
      </c>
      <c r="AV18" s="213">
        <v>7.4</v>
      </c>
      <c r="AW18" s="221">
        <f>AU18/AV18</f>
        <v>0.11486486486486486</v>
      </c>
      <c r="AX18" s="184"/>
      <c r="AY18" s="184"/>
      <c r="AZ18" s="184"/>
      <c r="BA18" s="184"/>
      <c r="BB18" s="185">
        <v>1</v>
      </c>
      <c r="BC18" s="209" t="s">
        <v>679</v>
      </c>
      <c r="BD18" s="185">
        <v>0</v>
      </c>
      <c r="BE18" s="184">
        <v>0</v>
      </c>
      <c r="BF18" s="184" t="s">
        <v>694</v>
      </c>
      <c r="BG18" s="184"/>
      <c r="BH18" s="184"/>
      <c r="BI18" s="184"/>
      <c r="BJ18" s="184"/>
      <c r="BK18" s="184"/>
      <c r="BL18" s="184"/>
    </row>
    <row r="19" spans="2:64" ht="16.5" customHeight="1" thickBot="1">
      <c r="B19" s="551" t="s">
        <v>565</v>
      </c>
      <c r="C19" s="551"/>
      <c r="D19" s="551"/>
      <c r="E19" s="74"/>
      <c r="F19" s="70"/>
      <c r="G19" s="583"/>
      <c r="H19" s="584"/>
      <c r="I19" s="584"/>
      <c r="J19" s="571"/>
      <c r="K19" s="31"/>
      <c r="L19" s="573"/>
      <c r="M19" s="75" t="s">
        <v>568</v>
      </c>
      <c r="N19" s="76"/>
      <c r="O19" s="580"/>
      <c r="P19" s="580"/>
      <c r="Q19" s="44"/>
      <c r="R19" s="621">
        <f>O17-R17</f>
        <v>15617.459203562787</v>
      </c>
      <c r="S19" s="626"/>
      <c r="T19" s="77"/>
      <c r="U19" s="621">
        <f>O17-U17</f>
        <v>16050.991477709438</v>
      </c>
      <c r="V19" s="621"/>
      <c r="X19" s="185"/>
      <c r="Y19" s="230">
        <v>0</v>
      </c>
      <c r="Z19" s="230"/>
      <c r="AA19" s="231" t="s">
        <v>206</v>
      </c>
      <c r="AB19" s="230">
        <v>0</v>
      </c>
      <c r="AI19" s="184"/>
      <c r="AJ19" s="184"/>
      <c r="AK19" s="184"/>
      <c r="AL19" s="226">
        <v>2</v>
      </c>
      <c r="AM19" s="218" t="s">
        <v>268</v>
      </c>
      <c r="AN19" s="225">
        <v>1150</v>
      </c>
      <c r="AO19" s="176">
        <v>200</v>
      </c>
      <c r="AP19" s="223">
        <v>0</v>
      </c>
      <c r="AQ19" s="227">
        <v>0.07</v>
      </c>
      <c r="AR19" s="225"/>
      <c r="AS19" s="184"/>
      <c r="AT19" s="197" t="s">
        <v>736</v>
      </c>
      <c r="AU19" s="213">
        <v>1.4</v>
      </c>
      <c r="AV19" s="213">
        <v>10</v>
      </c>
      <c r="AW19" s="221">
        <f>AU19/AV19</f>
        <v>0.13999999999999999</v>
      </c>
      <c r="AX19" s="184"/>
      <c r="AY19" s="184"/>
      <c r="AZ19" s="184"/>
      <c r="BA19" s="184"/>
      <c r="BB19" s="185">
        <v>2</v>
      </c>
      <c r="BC19" s="209" t="s">
        <v>260</v>
      </c>
      <c r="BD19" s="185">
        <v>4</v>
      </c>
      <c r="BE19" s="184">
        <v>0.15</v>
      </c>
      <c r="BF19" s="184" t="s">
        <v>694</v>
      </c>
      <c r="BG19" s="184"/>
      <c r="BH19" s="184"/>
      <c r="BI19" s="184"/>
      <c r="BJ19" s="184"/>
      <c r="BK19" s="184"/>
      <c r="BL19" s="184"/>
    </row>
    <row r="20" spans="2:64" ht="16.5" customHeight="1" thickBot="1">
      <c r="B20" s="606" t="s">
        <v>237</v>
      </c>
      <c r="C20" s="606"/>
      <c r="D20" s="606"/>
      <c r="E20" s="74"/>
      <c r="F20" s="70"/>
      <c r="G20" s="583"/>
      <c r="H20" s="584"/>
      <c r="I20" s="584"/>
      <c r="J20" s="571"/>
      <c r="K20" s="31"/>
      <c r="L20" s="573"/>
      <c r="M20" s="78" t="s">
        <v>622</v>
      </c>
      <c r="N20" s="79"/>
      <c r="O20" s="580"/>
      <c r="P20" s="580"/>
      <c r="Q20" s="29"/>
      <c r="R20" s="622">
        <f>A!H75</f>
        <v>0.3263382851185822</v>
      </c>
      <c r="S20" s="622"/>
      <c r="T20" s="80"/>
      <c r="U20" s="622">
        <f>A!K75</f>
        <v>0.33013291634089137</v>
      </c>
      <c r="V20" s="622"/>
      <c r="X20" s="185"/>
      <c r="Y20" s="232">
        <v>0.025</v>
      </c>
      <c r="Z20" s="232"/>
      <c r="AA20" s="233" t="s">
        <v>207</v>
      </c>
      <c r="AB20" s="232">
        <v>0.025</v>
      </c>
      <c r="AD20" s="194">
        <f>(R27-R26)*E27</f>
        <v>616.1024532714337</v>
      </c>
      <c r="AE20" s="209" t="s">
        <v>256</v>
      </c>
      <c r="AI20" s="184"/>
      <c r="AJ20" s="184"/>
      <c r="AK20" s="184"/>
      <c r="AL20" s="527">
        <v>3</v>
      </c>
      <c r="AM20" s="218" t="s">
        <v>269</v>
      </c>
      <c r="AN20" s="225">
        <v>1323</v>
      </c>
      <c r="AO20" s="176">
        <v>100</v>
      </c>
      <c r="AP20" s="213">
        <v>0.2</v>
      </c>
      <c r="AQ20" s="227">
        <v>0.07</v>
      </c>
      <c r="AR20" s="202"/>
      <c r="AS20" s="184"/>
      <c r="AT20" s="184"/>
      <c r="AU20" s="213"/>
      <c r="AV20" s="213"/>
      <c r="AW20" s="185"/>
      <c r="AX20" s="184"/>
      <c r="AY20" s="184"/>
      <c r="AZ20" s="184"/>
      <c r="BA20" s="184"/>
      <c r="BB20" s="185">
        <v>3</v>
      </c>
      <c r="BC20" s="209" t="s">
        <v>261</v>
      </c>
      <c r="BD20" s="185">
        <v>5.2</v>
      </c>
      <c r="BE20" s="184">
        <v>0.2</v>
      </c>
      <c r="BF20" s="184" t="s">
        <v>757</v>
      </c>
      <c r="BG20" s="184"/>
      <c r="BH20" s="184"/>
      <c r="BI20" s="184"/>
      <c r="BJ20" s="184"/>
      <c r="BK20" s="184"/>
      <c r="BL20" s="184"/>
    </row>
    <row r="21" spans="2:64" ht="16.5" customHeight="1" thickBot="1">
      <c r="B21" s="551" t="s">
        <v>238</v>
      </c>
      <c r="C21" s="551"/>
      <c r="D21" s="551"/>
      <c r="E21" s="174">
        <f>IF(1!CI42=0,0,Riqualificazione!E28)</f>
        <v>0</v>
      </c>
      <c r="F21" s="70"/>
      <c r="G21" s="552">
        <f>IF(2!CI41=0,0,Riqualificazione!E28)</f>
        <v>0</v>
      </c>
      <c r="H21" s="553"/>
      <c r="I21" s="553"/>
      <c r="J21" s="571"/>
      <c r="K21" s="31"/>
      <c r="L21" s="573"/>
      <c r="M21" s="50" t="s">
        <v>626</v>
      </c>
      <c r="N21" s="44"/>
      <c r="O21" s="580"/>
      <c r="P21" s="580"/>
      <c r="Q21" s="29"/>
      <c r="R21" s="558">
        <f>A!H267</f>
        <v>1.0745661052477933</v>
      </c>
      <c r="S21" s="558"/>
      <c r="T21" s="81"/>
      <c r="U21" s="558">
        <f>A!K267</f>
        <v>1.0147627738045728</v>
      </c>
      <c r="V21" s="558"/>
      <c r="X21" s="185"/>
      <c r="Y21" s="232">
        <v>0.05</v>
      </c>
      <c r="Z21" s="232"/>
      <c r="AA21" s="196" t="s">
        <v>208</v>
      </c>
      <c r="AB21" s="232">
        <v>0.05</v>
      </c>
      <c r="AD21" s="194">
        <f>O17-R17</f>
        <v>15617.459203562787</v>
      </c>
      <c r="AE21" s="184" t="s">
        <v>250</v>
      </c>
      <c r="AI21" s="184"/>
      <c r="AJ21" s="184"/>
      <c r="AK21" s="184"/>
      <c r="AL21" s="226">
        <v>4</v>
      </c>
      <c r="AM21" s="218" t="s">
        <v>270</v>
      </c>
      <c r="AN21" s="225">
        <v>1352.3999999999999</v>
      </c>
      <c r="AO21" s="176">
        <v>100</v>
      </c>
      <c r="AP21" s="213">
        <v>0.2</v>
      </c>
      <c r="AQ21" s="227">
        <v>0.07</v>
      </c>
      <c r="AR21" s="202"/>
      <c r="AS21" s="184"/>
      <c r="AT21" s="184"/>
      <c r="AU21" s="184"/>
      <c r="AV21" s="184"/>
      <c r="AW21" s="184"/>
      <c r="AX21" s="184"/>
      <c r="AY21" s="184"/>
      <c r="AZ21" s="184"/>
      <c r="BA21" s="184"/>
      <c r="BB21" s="185">
        <v>4</v>
      </c>
      <c r="BC21" s="209" t="s">
        <v>262</v>
      </c>
      <c r="BD21" s="185">
        <v>3.8</v>
      </c>
      <c r="BE21" s="184">
        <v>0.15</v>
      </c>
      <c r="BF21" s="184" t="s">
        <v>694</v>
      </c>
      <c r="BG21" s="184"/>
      <c r="BH21" s="184"/>
      <c r="BI21" s="184"/>
      <c r="BJ21" s="184"/>
      <c r="BK21" s="184"/>
      <c r="BL21" s="184"/>
    </row>
    <row r="22" spans="2:64" ht="16.5" customHeight="1" thickBot="1">
      <c r="B22" s="606" t="s">
        <v>239</v>
      </c>
      <c r="C22" s="606"/>
      <c r="D22" s="607"/>
      <c r="E22" s="20"/>
      <c r="F22" s="70"/>
      <c r="G22" s="583"/>
      <c r="H22" s="584"/>
      <c r="I22" s="584"/>
      <c r="J22" s="571"/>
      <c r="K22" s="31"/>
      <c r="L22" s="573"/>
      <c r="M22" s="82" t="s">
        <v>240</v>
      </c>
      <c r="N22" s="44"/>
      <c r="O22" s="580"/>
      <c r="P22" s="580"/>
      <c r="Q22" s="29"/>
      <c r="R22" s="627">
        <f>A!H268</f>
        <v>9.30607746228573</v>
      </c>
      <c r="S22" s="627"/>
      <c r="T22" s="29"/>
      <c r="U22" s="627">
        <f>A!K268</f>
        <v>9.854511838465337</v>
      </c>
      <c r="V22" s="627"/>
      <c r="X22" s="185"/>
      <c r="Y22" s="232">
        <v>0.06</v>
      </c>
      <c r="Z22" s="232"/>
      <c r="AA22" s="196" t="s">
        <v>209</v>
      </c>
      <c r="AB22" s="232">
        <v>0.06</v>
      </c>
      <c r="AD22" s="194">
        <f>R19</f>
        <v>15617.459203562787</v>
      </c>
      <c r="AE22" s="184" t="s">
        <v>250</v>
      </c>
      <c r="AI22" s="184"/>
      <c r="AJ22" s="184"/>
      <c r="AK22" s="184"/>
      <c r="AL22" s="527">
        <v>5</v>
      </c>
      <c r="AM22" s="218" t="s">
        <v>271</v>
      </c>
      <c r="AN22" s="225">
        <v>1293.6</v>
      </c>
      <c r="AO22" s="176">
        <v>100</v>
      </c>
      <c r="AP22" s="213">
        <v>0.2</v>
      </c>
      <c r="AQ22" s="227">
        <v>0.07</v>
      </c>
      <c r="AR22" s="202"/>
      <c r="AS22" s="184"/>
      <c r="AT22" s="527">
        <f>G21</f>
        <v>0</v>
      </c>
      <c r="AU22" s="210">
        <f>E21</f>
        <v>0</v>
      </c>
      <c r="AV22" s="184"/>
      <c r="AW22" s="184"/>
      <c r="AY22" s="184"/>
      <c r="AZ22" s="184"/>
      <c r="BA22" s="184"/>
      <c r="BB22" s="185">
        <v>5</v>
      </c>
      <c r="BC22" s="209" t="s">
        <v>263</v>
      </c>
      <c r="BD22" s="185">
        <v>5</v>
      </c>
      <c r="BE22" s="184">
        <v>0.2</v>
      </c>
      <c r="BF22" s="184" t="s">
        <v>757</v>
      </c>
      <c r="BG22" s="184"/>
      <c r="BH22" s="184"/>
      <c r="BI22" s="184"/>
      <c r="BJ22" s="184"/>
      <c r="BK22" s="184"/>
      <c r="BL22" s="184"/>
    </row>
    <row r="23" spans="2:64" ht="16.5" customHeight="1" thickBot="1">
      <c r="B23" s="551" t="s">
        <v>241</v>
      </c>
      <c r="C23" s="551"/>
      <c r="D23" s="551"/>
      <c r="E23" s="74"/>
      <c r="F23" s="70"/>
      <c r="G23" s="583"/>
      <c r="H23" s="584"/>
      <c r="I23" s="584"/>
      <c r="J23" s="571"/>
      <c r="K23" s="31"/>
      <c r="L23" s="573"/>
      <c r="M23" s="50" t="s">
        <v>876</v>
      </c>
      <c r="N23" s="44"/>
      <c r="O23" s="616">
        <f>((H10/AU8)+BC16+C12)/C10</f>
        <v>150.58869701726846</v>
      </c>
      <c r="P23" s="580"/>
      <c r="Q23" s="29"/>
      <c r="R23" s="640">
        <f>IF(X23&lt;0,0.1,X23)</f>
        <v>124.03414442700159</v>
      </c>
      <c r="S23" s="605"/>
      <c r="T23" s="29"/>
      <c r="U23" s="629">
        <f>IF(X24&lt;0,0.1,X24)</f>
        <v>123.46271585557301</v>
      </c>
      <c r="V23" s="629"/>
      <c r="X23" s="247">
        <f>IF(X26&lt;O23,X26,O23)</f>
        <v>124.03414442700159</v>
      </c>
      <c r="Y23" s="234">
        <v>3</v>
      </c>
      <c r="Z23" s="234"/>
      <c r="AA23" s="196" t="s">
        <v>210</v>
      </c>
      <c r="AB23" s="234">
        <v>3</v>
      </c>
      <c r="AD23" s="235">
        <f>R11+R12</f>
        <v>38508.40878995</v>
      </c>
      <c r="AE23" s="193" t="str">
        <f>"Il costo in "&amp;R37&amp;" anni delle bollette di energia sarà di"</f>
        <v>Il costo in 6418,59539082288 anni delle bollette di energia sarà di</v>
      </c>
      <c r="AF23" s="193"/>
      <c r="AG23" s="193"/>
      <c r="AH23" s="193"/>
      <c r="AI23" s="193"/>
      <c r="AJ23" s="193"/>
      <c r="AK23" s="193"/>
      <c r="AL23" s="226">
        <v>6</v>
      </c>
      <c r="AM23" s="218" t="s">
        <v>272</v>
      </c>
      <c r="AN23" s="225">
        <v>1110</v>
      </c>
      <c r="AO23" s="176">
        <v>100</v>
      </c>
      <c r="AP23" s="213">
        <v>0.1</v>
      </c>
      <c r="AQ23" s="227">
        <v>0.07</v>
      </c>
      <c r="AR23" s="202"/>
      <c r="AS23" s="185">
        <f>IF(AT25=0,AS24,AS25)</f>
        <v>1</v>
      </c>
      <c r="AT23" s="177" t="s">
        <v>539</v>
      </c>
      <c r="AU23" s="185" t="str">
        <f>IF(G21=0,AU24,AU25)</f>
        <v>no</v>
      </c>
      <c r="AV23" s="184"/>
      <c r="AW23" s="184"/>
      <c r="AX23" s="229">
        <f>IF(Riqualificazione!A50=1,400,IF(Riqualificazione!A55=1,400,IF(Riqualificazione!A58=1,$C$13,IF(H4=4,$C$21,IF(H4=5,$C$29)))))</f>
        <v>400</v>
      </c>
      <c r="AY23" s="184" t="s">
        <v>853</v>
      </c>
      <c r="AZ23" s="184"/>
      <c r="BA23" s="184"/>
      <c r="BB23" s="184"/>
      <c r="BC23" s="184"/>
      <c r="BD23" s="184"/>
      <c r="BE23" s="184"/>
      <c r="BF23" s="184"/>
      <c r="BG23" s="184"/>
      <c r="BH23" s="184"/>
      <c r="BI23" s="184"/>
      <c r="BJ23" s="184"/>
      <c r="BK23" s="184"/>
      <c r="BL23" s="184"/>
    </row>
    <row r="24" spans="2:64" ht="16.5" customHeight="1" thickBot="1">
      <c r="B24" s="615" t="s">
        <v>242</v>
      </c>
      <c r="C24" s="615"/>
      <c r="D24" s="615"/>
      <c r="E24" s="74"/>
      <c r="F24" s="70"/>
      <c r="G24" s="583"/>
      <c r="H24" s="584"/>
      <c r="I24" s="584"/>
      <c r="J24" s="571"/>
      <c r="K24" s="31"/>
      <c r="L24" s="573"/>
      <c r="M24" s="83" t="s">
        <v>569</v>
      </c>
      <c r="N24" s="44"/>
      <c r="O24" s="618"/>
      <c r="P24" s="618"/>
      <c r="Q24" s="29"/>
      <c r="R24" s="556">
        <f>1-R17/O17</f>
        <v>0.18452172879743256</v>
      </c>
      <c r="S24" s="556"/>
      <c r="T24" s="81"/>
      <c r="U24" s="556">
        <f>1-U17/O17</f>
        <v>0.18964395282070856</v>
      </c>
      <c r="V24" s="556"/>
      <c r="X24" s="247">
        <f>IF(X25&lt;O23,X25,O23)</f>
        <v>123.46271585557301</v>
      </c>
      <c r="Y24" s="234">
        <v>3</v>
      </c>
      <c r="Z24" s="234"/>
      <c r="AA24" s="196" t="s">
        <v>211</v>
      </c>
      <c r="AB24" s="234">
        <v>3</v>
      </c>
      <c r="AD24" s="235"/>
      <c r="AE24" s="236"/>
      <c r="AF24" s="193"/>
      <c r="AG24" s="193"/>
      <c r="AH24" s="193"/>
      <c r="AI24" s="193"/>
      <c r="AJ24" s="193"/>
      <c r="AK24" s="193"/>
      <c r="AL24" s="527">
        <v>7</v>
      </c>
      <c r="AM24" s="209" t="s">
        <v>273</v>
      </c>
      <c r="AN24" s="202">
        <v>1090</v>
      </c>
      <c r="AO24" s="176">
        <v>0</v>
      </c>
      <c r="AP24" s="223">
        <v>0</v>
      </c>
      <c r="AQ24" s="227">
        <v>0.06</v>
      </c>
      <c r="AR24" s="202"/>
      <c r="AS24" s="176">
        <v>1</v>
      </c>
      <c r="AT24" s="176">
        <f>IF(AS25=1,0,AT22)</f>
        <v>0</v>
      </c>
      <c r="AU24" s="185" t="s">
        <v>51</v>
      </c>
      <c r="AV24" s="184"/>
      <c r="AW24" s="177" t="s">
        <v>166</v>
      </c>
      <c r="AX24" s="225">
        <f>((H10/AU8)+BC16+C12)/C10</f>
        <v>150.58869701726846</v>
      </c>
      <c r="AY24" s="184" t="s">
        <v>852</v>
      </c>
      <c r="AZ24" s="237"/>
      <c r="BA24" s="184"/>
      <c r="BB24" s="184"/>
      <c r="BC24" s="184"/>
      <c r="BD24" s="184"/>
      <c r="BE24" s="184"/>
      <c r="BF24" s="184"/>
      <c r="BG24" s="184"/>
      <c r="BH24" s="184"/>
      <c r="BI24" s="184"/>
      <c r="BJ24" s="184"/>
      <c r="BK24" s="184"/>
      <c r="BL24" s="184"/>
    </row>
    <row r="25" spans="2:64" ht="16.5" customHeight="1" thickBot="1">
      <c r="B25" s="591" t="s">
        <v>243</v>
      </c>
      <c r="C25" s="591"/>
      <c r="D25" s="591"/>
      <c r="E25" s="17">
        <v>1</v>
      </c>
      <c r="F25" s="70"/>
      <c r="G25" s="593">
        <v>1</v>
      </c>
      <c r="H25" s="594"/>
      <c r="I25" s="594"/>
      <c r="J25" s="571"/>
      <c r="K25" s="31"/>
      <c r="L25" s="573"/>
      <c r="M25" s="84" t="s">
        <v>620</v>
      </c>
      <c r="N25" s="85"/>
      <c r="O25" s="86"/>
      <c r="P25" s="86"/>
      <c r="Q25" s="85"/>
      <c r="R25" s="554"/>
      <c r="S25" s="555"/>
      <c r="T25" s="87"/>
      <c r="U25" s="554"/>
      <c r="V25" s="555"/>
      <c r="X25" s="247">
        <f>O23*(A!J75+X27)</f>
        <v>123.46271585557301</v>
      </c>
      <c r="Y25" s="230">
        <v>0</v>
      </c>
      <c r="Z25" s="230"/>
      <c r="AA25" s="185" t="s">
        <v>217</v>
      </c>
      <c r="AB25" s="230">
        <v>0</v>
      </c>
      <c r="AD25" s="235">
        <f>O11+O12</f>
        <v>47593.41762</v>
      </c>
      <c r="AE25" s="193" t="str">
        <f>"Senza impianto FV + Pdc in "&amp;R37&amp;" anni sarebbero state di"</f>
        <v>Senza impianto FV + Pdc in 6418,59539082288 anni sarebbero state di</v>
      </c>
      <c r="AF25" s="193"/>
      <c r="AG25" s="193"/>
      <c r="AH25" s="193"/>
      <c r="AI25" s="193"/>
      <c r="AJ25" s="193"/>
      <c r="AK25" s="193"/>
      <c r="AL25" s="226">
        <v>8</v>
      </c>
      <c r="AM25" s="218" t="s">
        <v>282</v>
      </c>
      <c r="AN25" s="225">
        <v>1254.4</v>
      </c>
      <c r="AO25" s="176">
        <v>100</v>
      </c>
      <c r="AP25" s="213">
        <v>0.15</v>
      </c>
      <c r="AQ25" s="227">
        <v>0.07</v>
      </c>
      <c r="AR25" s="202"/>
      <c r="AS25" s="176">
        <f>IF(2!CI41=1,2,1)</f>
        <v>1</v>
      </c>
      <c r="AT25" s="176">
        <f>IF(AS25=2,AT24,0)</f>
        <v>0</v>
      </c>
      <c r="AU25" s="185" t="str">
        <f>IF(AS25=2,AV25,AU24)</f>
        <v>no</v>
      </c>
      <c r="AV25" s="184" t="s">
        <v>334</v>
      </c>
      <c r="AW25" s="209" t="s">
        <v>317</v>
      </c>
      <c r="AX25" s="226">
        <f>AX24-AZ25</f>
        <v>0</v>
      </c>
      <c r="AY25" s="184"/>
      <c r="AZ25" s="238">
        <f>Riqualificazione!C27</f>
        <v>150.58869701726846</v>
      </c>
      <c r="BA25" s="184"/>
      <c r="BB25" s="184"/>
      <c r="BC25" s="184"/>
      <c r="BD25" s="184"/>
      <c r="BE25" s="184"/>
      <c r="BF25" s="184"/>
      <c r="BG25" s="184"/>
      <c r="BH25" s="184"/>
      <c r="BI25" s="184"/>
      <c r="BJ25" s="184"/>
      <c r="BK25" s="184"/>
      <c r="BL25" s="184"/>
    </row>
    <row r="26" spans="2:64" ht="16.5" customHeight="1" thickBot="1">
      <c r="B26" s="591" t="s">
        <v>244</v>
      </c>
      <c r="C26" s="591"/>
      <c r="D26" s="591"/>
      <c r="E26" s="17">
        <v>0.07</v>
      </c>
      <c r="F26" s="70"/>
      <c r="G26" s="593">
        <v>0.07</v>
      </c>
      <c r="H26" s="594"/>
      <c r="I26" s="594"/>
      <c r="J26" s="571"/>
      <c r="K26" s="31"/>
      <c r="L26" s="573"/>
      <c r="M26" s="50" t="str">
        <f>"COSTI medi al MESE (al netto delle entrate) per i primi "&amp;E27&amp;"anni"</f>
        <v>COSTI medi al MESE (al netto delle entrate) per i primi 12anni</v>
      </c>
      <c r="N26" s="44"/>
      <c r="O26" s="617">
        <f>(B!B78+B!B86)/E27/12</f>
        <v>273.8964558358245</v>
      </c>
      <c r="P26" s="617"/>
      <c r="Q26" s="44"/>
      <c r="R26" s="557">
        <f>O26-(1!EO157/1!CG119)</f>
        <v>267.0467860935259</v>
      </c>
      <c r="S26" s="557"/>
      <c r="T26" s="44"/>
      <c r="U26" s="557">
        <f>O26-(2!DL157/2!CG119)</f>
        <v>271.7832222521755</v>
      </c>
      <c r="V26" s="557"/>
      <c r="X26" s="247">
        <f>O23*(A!G75+X27)</f>
        <v>124.03414442700159</v>
      </c>
      <c r="Y26" s="232">
        <v>0</v>
      </c>
      <c r="Z26" s="232"/>
      <c r="AA26" s="185" t="s">
        <v>222</v>
      </c>
      <c r="AB26" s="232">
        <v>0</v>
      </c>
      <c r="AD26" s="194">
        <f>A!X33</f>
        <v>0</v>
      </c>
      <c r="AE26" s="211" t="s">
        <v>145</v>
      </c>
      <c r="AF26" s="239">
        <f>R24</f>
        <v>0.18452172879743256</v>
      </c>
      <c r="AG26" s="240">
        <f>AE24+AF26</f>
        <v>0.18452172879743256</v>
      </c>
      <c r="AI26" s="184"/>
      <c r="AJ26" s="184"/>
      <c r="AK26" s="184"/>
      <c r="AL26" s="527">
        <v>9</v>
      </c>
      <c r="AM26" s="218" t="s">
        <v>281</v>
      </c>
      <c r="AN26" s="225">
        <v>1176</v>
      </c>
      <c r="AO26" s="176">
        <v>100</v>
      </c>
      <c r="AP26" s="213">
        <v>0.1</v>
      </c>
      <c r="AQ26" s="227">
        <v>0.07</v>
      </c>
      <c r="AR26" s="202"/>
      <c r="AS26" s="176">
        <f>IF(AT28=0,AS27,AS28)</f>
        <v>1</v>
      </c>
      <c r="AT26" s="177" t="s">
        <v>540</v>
      </c>
      <c r="AU26" s="176" t="str">
        <f>IF(E21=0,AU27,AU28)</f>
        <v>no</v>
      </c>
      <c r="AV26" s="184"/>
      <c r="AW26" s="209" t="s">
        <v>316</v>
      </c>
      <c r="AX26" s="226">
        <f>AX24-AZ26</f>
        <v>0</v>
      </c>
      <c r="AY26" s="184"/>
      <c r="AZ26" s="237">
        <f>IF(E21=0,BA26,AZ25)</f>
        <v>150.58869701726846</v>
      </c>
      <c r="BA26" s="215">
        <f>((H10/AU8)+BC16+C12)/C10</f>
        <v>150.58869701726846</v>
      </c>
      <c r="BB26" s="184"/>
      <c r="BC26" s="184"/>
      <c r="BD26" s="184"/>
      <c r="BE26" s="184"/>
      <c r="BF26" s="184"/>
      <c r="BG26" s="184"/>
      <c r="BH26" s="184"/>
      <c r="BI26" s="184"/>
      <c r="BJ26" s="184"/>
      <c r="BK26" s="184"/>
      <c r="BL26" s="184"/>
    </row>
    <row r="27" spans="2:64" ht="16.5" customHeight="1" thickBot="1">
      <c r="B27" s="615" t="s">
        <v>245</v>
      </c>
      <c r="C27" s="615"/>
      <c r="D27" s="615"/>
      <c r="E27" s="16">
        <v>12</v>
      </c>
      <c r="F27" s="70"/>
      <c r="G27" s="583">
        <v>12</v>
      </c>
      <c r="H27" s="584"/>
      <c r="I27" s="584"/>
      <c r="J27" s="571"/>
      <c r="K27" s="31"/>
      <c r="L27" s="573"/>
      <c r="M27" s="50" t="str">
        <f>"COSTI medi al MESE (al netto delle entrate) dal "&amp;O32&amp;"° al "&amp;P32&amp;"° anno"</f>
        <v>COSTI medi al MESE (al netto delle entrate) dal 13° al 20° anno</v>
      </c>
      <c r="N27" s="44"/>
      <c r="O27" s="617">
        <f>O44/(E29-E27)/12</f>
        <v>470.79601928980975</v>
      </c>
      <c r="P27" s="617"/>
      <c r="Q27" s="29"/>
      <c r="R27" s="557">
        <f>(R17-(R26*12*E27))/((E29-E27)*12)</f>
        <v>318.3886571994787</v>
      </c>
      <c r="S27" s="557"/>
      <c r="T27" s="29"/>
      <c r="U27" s="557">
        <f>(U17-(U26*12*G27))/((G29-G27)*12)</f>
        <v>306.7680417724766</v>
      </c>
      <c r="V27" s="557"/>
      <c r="X27" s="213">
        <v>0.15</v>
      </c>
      <c r="Y27" s="528"/>
      <c r="Z27" s="528"/>
      <c r="AA27" s="528"/>
      <c r="AB27" s="528"/>
      <c r="AD27" s="194">
        <f>A!T36</f>
        <v>0</v>
      </c>
      <c r="AE27" s="184" t="s">
        <v>144</v>
      </c>
      <c r="AI27" s="184"/>
      <c r="AJ27" s="184"/>
      <c r="AK27" s="184"/>
      <c r="AL27" s="226">
        <v>10</v>
      </c>
      <c r="AM27" s="218" t="s">
        <v>274</v>
      </c>
      <c r="AN27" s="225">
        <v>1100</v>
      </c>
      <c r="AO27" s="176">
        <v>100</v>
      </c>
      <c r="AP27" s="223">
        <v>0</v>
      </c>
      <c r="AQ27" s="227">
        <v>0.07</v>
      </c>
      <c r="AR27" s="202"/>
      <c r="AS27" s="176">
        <v>1</v>
      </c>
      <c r="AT27" s="176">
        <f>IF(AS28=1,0,AU22)</f>
        <v>0</v>
      </c>
      <c r="AU27" s="185" t="s">
        <v>51</v>
      </c>
      <c r="AV27" s="184"/>
      <c r="AW27" s="184"/>
      <c r="AX27" s="211"/>
      <c r="AY27" s="184"/>
      <c r="AZ27" s="184"/>
      <c r="BA27" s="184"/>
      <c r="BB27" s="184"/>
      <c r="BC27" s="184"/>
      <c r="BD27" s="184"/>
      <c r="BE27" s="184"/>
      <c r="BF27" s="184"/>
      <c r="BG27" s="184"/>
      <c r="BH27" s="184"/>
      <c r="BI27" s="184"/>
      <c r="BJ27" s="184"/>
      <c r="BK27" s="184"/>
      <c r="BL27" s="184"/>
    </row>
    <row r="28" spans="2:64" ht="16.5" customHeight="1" thickBot="1">
      <c r="B28" s="615" t="s">
        <v>246</v>
      </c>
      <c r="C28" s="615"/>
      <c r="D28" s="615"/>
      <c r="E28" s="74">
        <v>24</v>
      </c>
      <c r="F28" s="70"/>
      <c r="G28" s="583"/>
      <c r="H28" s="584"/>
      <c r="I28" s="584"/>
      <c r="J28" s="571"/>
      <c r="K28" s="31"/>
      <c r="L28" s="573"/>
      <c r="M28" s="50" t="str">
        <f>"GUADAGNO ANNUO (media) dal "&amp;O32&amp;"° al "&amp;P32&amp;"° anno"</f>
        <v>GUADAGNO ANNUO (media) dal 13° al 20° anno</v>
      </c>
      <c r="N28" s="44"/>
      <c r="O28" s="580"/>
      <c r="P28" s="580"/>
      <c r="Q28" s="29"/>
      <c r="R28" s="557">
        <f>(O27-R27)*12</f>
        <v>1828.8883450839726</v>
      </c>
      <c r="S28" s="557"/>
      <c r="T28" s="29"/>
      <c r="U28" s="557">
        <f>(O27-U27)*12</f>
        <v>1968.335730207998</v>
      </c>
      <c r="V28" s="557"/>
      <c r="Y28" s="528"/>
      <c r="Z28" s="528"/>
      <c r="AA28" s="528"/>
      <c r="AB28" s="528"/>
      <c r="AD28" s="241">
        <f>AD26+O12+AD27-R8-R10-R9-R12</f>
        <v>-21118.859176566846</v>
      </c>
      <c r="AE28" s="241" t="s">
        <v>257</v>
      </c>
      <c r="AI28" s="184"/>
      <c r="AJ28" s="184"/>
      <c r="AK28" s="184"/>
      <c r="AL28" s="527">
        <v>11</v>
      </c>
      <c r="AM28" s="218" t="s">
        <v>280</v>
      </c>
      <c r="AN28" s="225">
        <v>1225</v>
      </c>
      <c r="AO28" s="176">
        <v>100</v>
      </c>
      <c r="AP28" s="213">
        <v>0.16</v>
      </c>
      <c r="AQ28" s="227">
        <v>0.07</v>
      </c>
      <c r="AR28" s="202"/>
      <c r="AS28" s="176">
        <f>IF(1!CI42=1,2,1)</f>
        <v>1</v>
      </c>
      <c r="AT28" s="176">
        <f>IF(AS28=2,AT27,0)</f>
        <v>0</v>
      </c>
      <c r="AU28" s="185" t="str">
        <f>IF(AS28=2,AV28,AU27)</f>
        <v>no</v>
      </c>
      <c r="AV28" s="184" t="s">
        <v>334</v>
      </c>
      <c r="AW28" s="184"/>
      <c r="AX28" s="184"/>
      <c r="AY28" s="184"/>
      <c r="AZ28" s="184"/>
      <c r="BA28" s="184"/>
      <c r="BB28" s="184"/>
      <c r="BC28" s="184"/>
      <c r="BD28" s="184"/>
      <c r="BE28" s="184"/>
      <c r="BF28" s="184"/>
      <c r="BG28" s="184"/>
      <c r="BH28" s="184"/>
      <c r="BI28" s="184"/>
      <c r="BJ28" s="184"/>
      <c r="BK28" s="184"/>
      <c r="BL28" s="184"/>
    </row>
    <row r="29" spans="2:64" ht="16.5" customHeight="1" thickBot="1">
      <c r="B29" s="612" t="s">
        <v>247</v>
      </c>
      <c r="C29" s="612"/>
      <c r="D29" s="612"/>
      <c r="E29" s="18">
        <v>20</v>
      </c>
      <c r="F29" s="70"/>
      <c r="G29" s="613">
        <f>E29</f>
        <v>20</v>
      </c>
      <c r="H29" s="614"/>
      <c r="I29" s="614"/>
      <c r="J29" s="571"/>
      <c r="K29" s="31"/>
      <c r="L29" s="573"/>
      <c r="M29" s="576" t="s">
        <v>621</v>
      </c>
      <c r="N29" s="577"/>
      <c r="O29" s="578"/>
      <c r="P29" s="578"/>
      <c r="Q29" s="577"/>
      <c r="R29" s="578"/>
      <c r="S29" s="578"/>
      <c r="T29" s="577"/>
      <c r="U29" s="578"/>
      <c r="V29" s="578"/>
      <c r="Y29" s="227"/>
      <c r="Z29" s="227"/>
      <c r="AB29" s="227"/>
      <c r="AD29" s="194" t="e">
        <f>-#REF!</f>
        <v>#REF!</v>
      </c>
      <c r="AE29" s="184" t="s">
        <v>199</v>
      </c>
      <c r="AI29" s="184"/>
      <c r="AJ29" s="184"/>
      <c r="AK29" s="184"/>
      <c r="AL29" s="226">
        <v>12</v>
      </c>
      <c r="AM29" s="218" t="s">
        <v>279</v>
      </c>
      <c r="AN29" s="225">
        <v>1274</v>
      </c>
      <c r="AO29" s="176">
        <v>100</v>
      </c>
      <c r="AP29" s="213">
        <v>0.17</v>
      </c>
      <c r="AQ29" s="227">
        <v>0.07</v>
      </c>
      <c r="AR29" s="202"/>
      <c r="AS29" s="184"/>
      <c r="AT29" s="184"/>
      <c r="AU29" s="184"/>
      <c r="AV29" s="184"/>
      <c r="AW29" s="184"/>
      <c r="AX29" s="184"/>
      <c r="AY29" s="184"/>
      <c r="AZ29" s="184"/>
      <c r="BA29" s="184"/>
      <c r="BB29" s="185">
        <v>1</v>
      </c>
      <c r="BC29" s="185" t="s">
        <v>317</v>
      </c>
      <c r="BD29" s="185">
        <f>VLOOKUP(BB29,$BB$31:$BE$34,3,)</f>
        <v>0</v>
      </c>
      <c r="BE29" s="185" t="str">
        <f>VLOOKUP(BB29,$BB$31:$BE$34,4,)</f>
        <v>no</v>
      </c>
      <c r="BF29" s="184"/>
      <c r="BG29" s="184"/>
      <c r="BH29" s="184"/>
      <c r="BI29" s="184"/>
      <c r="BJ29" s="184"/>
      <c r="BK29" s="184"/>
      <c r="BL29" s="184"/>
    </row>
    <row r="30" spans="2:64" ht="16.5" customHeight="1">
      <c r="B30" s="559" t="s">
        <v>618</v>
      </c>
      <c r="C30" s="560"/>
      <c r="D30" s="560"/>
      <c r="E30" s="563" t="s">
        <v>908</v>
      </c>
      <c r="F30" s="70"/>
      <c r="G30" s="565" t="s">
        <v>909</v>
      </c>
      <c r="H30" s="566"/>
      <c r="I30" s="567"/>
      <c r="J30" s="571"/>
      <c r="K30" s="31"/>
      <c r="L30" s="573"/>
      <c r="M30" s="88" t="s">
        <v>484</v>
      </c>
      <c r="N30" s="44"/>
      <c r="O30" s="579">
        <f>A!G86</f>
        <v>142594.5054945055</v>
      </c>
      <c r="P30" s="580"/>
      <c r="Q30" s="44"/>
      <c r="R30" s="537">
        <f>A!H86</f>
        <v>80706.50549450549</v>
      </c>
      <c r="S30" s="574"/>
      <c r="T30" s="44"/>
      <c r="U30" s="537">
        <f>A!K86</f>
        <v>76546.50549450549</v>
      </c>
      <c r="V30" s="537"/>
      <c r="Y30" s="242"/>
      <c r="Z30" s="242"/>
      <c r="AB30" s="242"/>
      <c r="AD30" s="194">
        <f>-(R26-R27)</f>
        <v>51.341871105952805</v>
      </c>
      <c r="AE30" s="184" t="str">
        <f>"Bilancio annuo primi "&amp;E27&amp;" anni (periodo prestito):"</f>
        <v>Bilancio annuo primi 12 anni (periodo prestito):</v>
      </c>
      <c r="AI30" s="184"/>
      <c r="AJ30" s="184"/>
      <c r="AK30" s="184"/>
      <c r="AL30" s="527">
        <v>13</v>
      </c>
      <c r="AM30" s="218" t="s">
        <v>286</v>
      </c>
      <c r="AN30" s="225">
        <v>1150</v>
      </c>
      <c r="AO30" s="176">
        <v>100</v>
      </c>
      <c r="AP30" s="223">
        <v>0</v>
      </c>
      <c r="AQ30" s="227">
        <v>0.07</v>
      </c>
      <c r="AR30" s="225"/>
      <c r="AS30" s="176">
        <v>1</v>
      </c>
      <c r="AT30" s="184" t="str">
        <f>VLOOKUP(AS30,$AS$33:$AW$36,2,)</f>
        <v>                  no</v>
      </c>
      <c r="AU30" s="225">
        <f>VLOOKUP(AS30,$AS$33:$AW$36,3,)</f>
        <v>0</v>
      </c>
      <c r="AV30" s="225">
        <f>VLOOKUP(AS30,$AS$33:$AW$36,4,)</f>
        <v>0</v>
      </c>
      <c r="AW30" s="225">
        <f>VLOOKUP(AS30,$AS$33:$AW$36,5,)</f>
        <v>0</v>
      </c>
      <c r="AX30" s="184"/>
      <c r="AY30" s="184"/>
      <c r="AZ30" s="184"/>
      <c r="BA30" s="184"/>
      <c r="BB30" s="185">
        <v>1</v>
      </c>
      <c r="BC30" s="185" t="s">
        <v>316</v>
      </c>
      <c r="BD30" s="185">
        <f>VLOOKUP(BB30,$BB$31:$BE$34,3,)</f>
        <v>0</v>
      </c>
      <c r="BE30" s="185" t="str">
        <f>VLOOKUP(BB30,$BB$31:$BE$34,4,)</f>
        <v>no</v>
      </c>
      <c r="BF30" s="184"/>
      <c r="BG30" s="184"/>
      <c r="BH30" s="184"/>
      <c r="BI30" s="184"/>
      <c r="BJ30" s="184"/>
      <c r="BK30" s="184"/>
      <c r="BL30" s="184"/>
    </row>
    <row r="31" spans="2:64" ht="16.5" customHeight="1" thickBot="1">
      <c r="B31" s="561"/>
      <c r="C31" s="562"/>
      <c r="D31" s="562"/>
      <c r="E31" s="564"/>
      <c r="G31" s="568"/>
      <c r="H31" s="569"/>
      <c r="I31" s="570"/>
      <c r="J31" s="571"/>
      <c r="K31" s="89"/>
      <c r="L31" s="573"/>
      <c r="M31" s="90" t="s">
        <v>625</v>
      </c>
      <c r="N31" s="44"/>
      <c r="O31" s="579">
        <f>A!G90</f>
        <v>11661.208791208792</v>
      </c>
      <c r="P31" s="580"/>
      <c r="Q31" s="29"/>
      <c r="R31" s="537">
        <f>A!H90</f>
        <v>6787.608791208791</v>
      </c>
      <c r="S31" s="574"/>
      <c r="T31" s="29"/>
      <c r="U31" s="537">
        <f>A!K90</f>
        <v>6491.608791208791</v>
      </c>
      <c r="V31" s="537"/>
      <c r="Y31" s="528"/>
      <c r="Z31" s="528"/>
      <c r="AA31" s="528"/>
      <c r="AB31" s="528"/>
      <c r="AI31" s="184"/>
      <c r="AJ31" s="184"/>
      <c r="AK31" s="184"/>
      <c r="AL31" s="226">
        <v>14</v>
      </c>
      <c r="AM31" s="218" t="s">
        <v>275</v>
      </c>
      <c r="AN31" s="225">
        <v>1352.3999999999999</v>
      </c>
      <c r="AO31" s="185">
        <v>100</v>
      </c>
      <c r="AP31" s="213">
        <v>0.2</v>
      </c>
      <c r="AQ31" s="227">
        <v>0.07</v>
      </c>
      <c r="AR31" s="202"/>
      <c r="AS31" s="176">
        <v>1</v>
      </c>
      <c r="AT31" s="184" t="str">
        <f>VLOOKUP(AS31,$AS$33:$AW$36,2,)</f>
        <v>                  no</v>
      </c>
      <c r="AU31" s="225">
        <f>VLOOKUP(AS31,$AS$33:$AW$36,3,)</f>
        <v>0</v>
      </c>
      <c r="AV31" s="225">
        <f>VLOOKUP(AS31,$AS$33:$AW$36,4,)</f>
        <v>0</v>
      </c>
      <c r="AW31" s="225">
        <f>VLOOKUP(AS31,$AS$33:$AW$36,5,)</f>
        <v>0</v>
      </c>
      <c r="AX31" s="184"/>
      <c r="AY31" s="184"/>
      <c r="AZ31" s="184"/>
      <c r="BA31" s="184"/>
      <c r="BB31" s="185"/>
      <c r="BC31" s="229" t="s">
        <v>266</v>
      </c>
      <c r="BD31" s="185"/>
      <c r="BE31" s="185"/>
      <c r="BF31" s="184"/>
      <c r="BG31" s="184"/>
      <c r="BH31" s="184"/>
      <c r="BI31" s="184"/>
      <c r="BJ31" s="184"/>
      <c r="BK31" s="184"/>
      <c r="BL31" s="184"/>
    </row>
    <row r="32" spans="5:57" ht="17.25" customHeight="1">
      <c r="E32" s="91"/>
      <c r="M32" s="181" t="s">
        <v>473</v>
      </c>
      <c r="N32" s="182"/>
      <c r="O32" s="183">
        <f>E27+1</f>
        <v>13</v>
      </c>
      <c r="P32" s="183">
        <f>E29</f>
        <v>20</v>
      </c>
      <c r="Q32" s="182"/>
      <c r="R32" s="547">
        <f>O26-R26</f>
        <v>6.849669742298602</v>
      </c>
      <c r="S32" s="547"/>
      <c r="T32" s="182"/>
      <c r="U32" s="547">
        <f>O26-U26</f>
        <v>2.1132335836489915</v>
      </c>
      <c r="V32" s="547"/>
      <c r="AL32" s="527">
        <v>15</v>
      </c>
      <c r="AM32" s="218" t="s">
        <v>283</v>
      </c>
      <c r="AN32" s="225">
        <v>1362.2</v>
      </c>
      <c r="AO32" s="185">
        <v>200</v>
      </c>
      <c r="AP32" s="213">
        <v>0.25</v>
      </c>
      <c r="AQ32" s="227">
        <v>0.07</v>
      </c>
      <c r="AR32" s="225"/>
      <c r="AS32" s="176"/>
      <c r="AT32" s="177" t="s">
        <v>150</v>
      </c>
      <c r="AU32" s="176" t="s">
        <v>190</v>
      </c>
      <c r="AV32" s="225" t="s">
        <v>60</v>
      </c>
      <c r="AW32" s="176" t="s">
        <v>184</v>
      </c>
      <c r="BB32" s="185">
        <v>1</v>
      </c>
      <c r="BC32" s="185" t="s">
        <v>294</v>
      </c>
      <c r="BD32" s="185">
        <v>0</v>
      </c>
      <c r="BE32" s="176" t="s">
        <v>51</v>
      </c>
    </row>
    <row r="33" spans="2:57" ht="21">
      <c r="B33" s="92" t="s">
        <v>624</v>
      </c>
      <c r="C33" s="93"/>
      <c r="D33" s="94"/>
      <c r="E33" s="95"/>
      <c r="F33" s="95"/>
      <c r="G33" s="95"/>
      <c r="H33" s="96"/>
      <c r="I33" s="97"/>
      <c r="J33" s="97"/>
      <c r="K33" s="98"/>
      <c r="L33" s="99"/>
      <c r="M33" s="186" t="s">
        <v>495</v>
      </c>
      <c r="N33" s="187"/>
      <c r="O33" s="543">
        <f>O26*E27*12</f>
        <v>39441.089640358725</v>
      </c>
      <c r="P33" s="543"/>
      <c r="Q33" s="188"/>
      <c r="R33" s="543">
        <f>R34-R40</f>
        <v>39563.89730536802</v>
      </c>
      <c r="S33" s="543"/>
      <c r="T33" s="189"/>
      <c r="U33" s="543">
        <f>U34-U40</f>
        <v>40244.6226481917</v>
      </c>
      <c r="V33" s="543"/>
      <c r="AE33" s="528"/>
      <c r="AL33" s="226">
        <v>16</v>
      </c>
      <c r="AM33" s="218" t="s">
        <v>285</v>
      </c>
      <c r="AN33" s="225">
        <v>1372</v>
      </c>
      <c r="AO33" s="185">
        <v>150</v>
      </c>
      <c r="AP33" s="213">
        <v>0.3</v>
      </c>
      <c r="AQ33" s="227">
        <v>0.07</v>
      </c>
      <c r="AR33" s="202"/>
      <c r="AS33" s="176">
        <v>1</v>
      </c>
      <c r="AT33" s="218" t="s">
        <v>297</v>
      </c>
      <c r="AU33" s="225">
        <v>0</v>
      </c>
      <c r="AV33" s="225">
        <v>0</v>
      </c>
      <c r="AW33" s="176">
        <v>0</v>
      </c>
      <c r="BB33" s="185">
        <v>2</v>
      </c>
      <c r="BC33" s="185" t="s">
        <v>295</v>
      </c>
      <c r="BD33" s="185">
        <v>0</v>
      </c>
      <c r="BE33" s="176" t="s">
        <v>51</v>
      </c>
    </row>
    <row r="34" spans="2:57" ht="18.75">
      <c r="B34" s="100" t="s">
        <v>623</v>
      </c>
      <c r="C34" s="101" t="s">
        <v>646</v>
      </c>
      <c r="D34" s="25"/>
      <c r="E34" s="25"/>
      <c r="F34" s="25"/>
      <c r="G34" s="25"/>
      <c r="H34" s="24"/>
      <c r="I34" s="25"/>
      <c r="J34" s="25"/>
      <c r="L34" s="102"/>
      <c r="M34" s="190" t="s">
        <v>504</v>
      </c>
      <c r="N34" s="191"/>
      <c r="O34" s="192"/>
      <c r="P34" s="189"/>
      <c r="Q34" s="193"/>
      <c r="R34" s="548">
        <f>R35+R36+R37+R38+R39</f>
        <v>55574.167979088415</v>
      </c>
      <c r="S34" s="548"/>
      <c r="T34" s="189"/>
      <c r="U34" s="538">
        <f>U35+U36+U37+U38+U39</f>
        <v>59053.93669542856</v>
      </c>
      <c r="V34" s="539"/>
      <c r="AA34" s="528"/>
      <c r="AB34" s="528"/>
      <c r="AD34" s="194"/>
      <c r="AE34" s="528"/>
      <c r="AL34" s="527">
        <v>17</v>
      </c>
      <c r="AM34" s="218" t="s">
        <v>284</v>
      </c>
      <c r="AN34" s="225">
        <v>1176</v>
      </c>
      <c r="AO34" s="185">
        <v>100</v>
      </c>
      <c r="AP34" s="213">
        <v>0.12</v>
      </c>
      <c r="AQ34" s="227">
        <v>0.07</v>
      </c>
      <c r="AR34" s="202"/>
      <c r="AS34" s="176">
        <v>2</v>
      </c>
      <c r="AT34" s="218" t="s">
        <v>298</v>
      </c>
      <c r="AU34" s="223">
        <v>-0.13</v>
      </c>
      <c r="AV34" s="223">
        <v>0.2</v>
      </c>
      <c r="AW34" s="223">
        <v>0.11</v>
      </c>
      <c r="BB34" s="185">
        <v>3</v>
      </c>
      <c r="BC34" s="185" t="s">
        <v>296</v>
      </c>
      <c r="BD34" s="185">
        <v>1000</v>
      </c>
      <c r="BE34" s="176" t="s">
        <v>334</v>
      </c>
    </row>
    <row r="35" spans="2:57" ht="18.75" customHeight="1">
      <c r="B35" s="103" t="s">
        <v>628</v>
      </c>
      <c r="C35" s="101" t="s">
        <v>639</v>
      </c>
      <c r="D35" s="104"/>
      <c r="E35" s="25"/>
      <c r="F35" s="25"/>
      <c r="G35" s="25"/>
      <c r="H35" s="24"/>
      <c r="I35" s="25"/>
      <c r="J35" s="25"/>
      <c r="L35" s="102"/>
      <c r="M35" s="195" t="s">
        <v>494</v>
      </c>
      <c r="N35" s="148"/>
      <c r="O35" s="192"/>
      <c r="P35" s="189"/>
      <c r="Q35" s="184"/>
      <c r="R35" s="542">
        <f>B!B112</f>
        <v>3576.038498415584</v>
      </c>
      <c r="S35" s="542"/>
      <c r="T35" s="189"/>
      <c r="U35" s="540">
        <f>B!D112</f>
        <v>3576.038498415584</v>
      </c>
      <c r="V35" s="541"/>
      <c r="AA35" s="196"/>
      <c r="AB35" s="196"/>
      <c r="AC35" s="528"/>
      <c r="AL35" s="226">
        <v>18</v>
      </c>
      <c r="AM35" s="218" t="s">
        <v>278</v>
      </c>
      <c r="AN35" s="225">
        <v>1100</v>
      </c>
      <c r="AO35" s="176">
        <v>0</v>
      </c>
      <c r="AP35" s="223">
        <v>0</v>
      </c>
      <c r="AQ35" s="227">
        <v>0.06</v>
      </c>
      <c r="AR35" s="202"/>
      <c r="AS35" s="176">
        <v>3</v>
      </c>
      <c r="AT35" s="218" t="s">
        <v>299</v>
      </c>
      <c r="AU35" s="223">
        <v>-0.06</v>
      </c>
      <c r="AV35" s="223">
        <f>D!P7</f>
        <v>0.125</v>
      </c>
      <c r="AW35" s="223">
        <v>0.11</v>
      </c>
      <c r="AY35" s="184" t="str">
        <f>"Costi medi all'anno per i primi "&amp;E27&amp;" anni"</f>
        <v>Costi medi all'anno per i primi 12 anni</v>
      </c>
      <c r="BE35" s="185"/>
    </row>
    <row r="36" spans="2:51" ht="18.75">
      <c r="B36" s="105" t="s">
        <v>629</v>
      </c>
      <c r="C36" s="106" t="s">
        <v>640</v>
      </c>
      <c r="D36" s="104"/>
      <c r="E36" s="25"/>
      <c r="F36" s="25"/>
      <c r="G36" s="25"/>
      <c r="H36" s="24"/>
      <c r="I36" s="25"/>
      <c r="J36" s="25"/>
      <c r="L36" s="102"/>
      <c r="M36" s="197" t="s">
        <v>255</v>
      </c>
      <c r="N36" s="148"/>
      <c r="O36" s="198"/>
      <c r="P36" s="189"/>
      <c r="Q36" s="199"/>
      <c r="R36" s="542">
        <f>R8</f>
        <v>13590.643152676796</v>
      </c>
      <c r="S36" s="542"/>
      <c r="T36" s="189"/>
      <c r="U36" s="540">
        <f>U8</f>
        <v>15590.643152676796</v>
      </c>
      <c r="V36" s="541"/>
      <c r="AA36" s="200"/>
      <c r="AB36" s="200"/>
      <c r="AC36" s="196"/>
      <c r="AL36" s="527">
        <v>19</v>
      </c>
      <c r="AM36" s="218" t="s">
        <v>277</v>
      </c>
      <c r="AN36" s="225">
        <v>1176</v>
      </c>
      <c r="AO36" s="176">
        <v>100</v>
      </c>
      <c r="AP36" s="213">
        <v>0.2</v>
      </c>
      <c r="AQ36" s="227">
        <v>0.07</v>
      </c>
      <c r="AR36" s="202"/>
      <c r="AS36" s="176">
        <v>4</v>
      </c>
      <c r="AT36" s="218" t="s">
        <v>300</v>
      </c>
      <c r="AU36" s="223">
        <v>0.01</v>
      </c>
      <c r="AV36" s="223">
        <v>0.08</v>
      </c>
      <c r="AW36" s="223">
        <v>0.11</v>
      </c>
      <c r="AY36" s="184" t="str">
        <f>"Entrate medie e risparmi annui per i primi "&amp;E27&amp;" anni"</f>
        <v>Entrate medie e risparmi annui per i primi 12 anni</v>
      </c>
    </row>
    <row r="37" spans="2:51" ht="18.75">
      <c r="B37" s="107" t="s">
        <v>630</v>
      </c>
      <c r="C37" s="101" t="s">
        <v>641</v>
      </c>
      <c r="D37" s="104"/>
      <c r="E37" s="25"/>
      <c r="F37" s="25"/>
      <c r="G37" s="25"/>
      <c r="H37" s="24"/>
      <c r="I37" s="25"/>
      <c r="J37" s="25"/>
      <c r="L37" s="102"/>
      <c r="M37" s="201" t="s">
        <v>471</v>
      </c>
      <c r="N37" s="148"/>
      <c r="O37" s="542"/>
      <c r="P37" s="542"/>
      <c r="Q37" s="184"/>
      <c r="R37" s="542">
        <f>R9</f>
        <v>6418.59539082288</v>
      </c>
      <c r="S37" s="542"/>
      <c r="T37" s="189"/>
      <c r="U37" s="540">
        <f>U9</f>
        <v>7363.156338927631</v>
      </c>
      <c r="V37" s="541"/>
      <c r="AA37" s="202"/>
      <c r="AB37" s="202"/>
      <c r="AC37" s="200"/>
      <c r="AE37" s="194"/>
      <c r="AL37" s="226">
        <v>20</v>
      </c>
      <c r="AM37" s="218" t="s">
        <v>276</v>
      </c>
      <c r="AN37" s="225">
        <v>1100</v>
      </c>
      <c r="AO37" s="225">
        <v>0</v>
      </c>
      <c r="AP37" s="223">
        <v>0</v>
      </c>
      <c r="AQ37" s="227">
        <v>0.06</v>
      </c>
      <c r="AR37" s="202"/>
      <c r="AY37" s="184" t="str">
        <f>"Guadagno annuo dal "&amp;AB8&amp;"° al "&amp;R37&amp;"° anno"</f>
        <v>Guadagno annuo dal 13° al 6418,59539082288° anno</v>
      </c>
    </row>
    <row r="38" spans="2:29" ht="18.75">
      <c r="B38" s="108" t="s">
        <v>631</v>
      </c>
      <c r="C38" s="101" t="s">
        <v>642</v>
      </c>
      <c r="D38" s="25"/>
      <c r="E38" s="25"/>
      <c r="F38" s="25"/>
      <c r="G38" s="104"/>
      <c r="H38" s="25"/>
      <c r="I38" s="25"/>
      <c r="J38" s="25"/>
      <c r="L38" s="102"/>
      <c r="M38" s="203" t="s">
        <v>383</v>
      </c>
      <c r="N38" s="148"/>
      <c r="O38" s="542"/>
      <c r="P38" s="542"/>
      <c r="Q38" s="184"/>
      <c r="R38" s="542">
        <f>B!B104</f>
        <v>8691.396097442346</v>
      </c>
      <c r="S38" s="542"/>
      <c r="T38" s="189"/>
      <c r="U38" s="540">
        <f>B!D104</f>
        <v>8121.760306109721</v>
      </c>
      <c r="V38" s="541"/>
      <c r="AC38" s="202"/>
    </row>
    <row r="39" spans="2:41" ht="18.75">
      <c r="B39" s="109" t="s">
        <v>632</v>
      </c>
      <c r="C39" s="101" t="s">
        <v>643</v>
      </c>
      <c r="D39" s="104"/>
      <c r="E39" s="25"/>
      <c r="F39" s="25"/>
      <c r="G39" s="25"/>
      <c r="H39" s="24"/>
      <c r="I39" s="25"/>
      <c r="J39" s="25"/>
      <c r="L39" s="102"/>
      <c r="M39" s="203" t="s">
        <v>470</v>
      </c>
      <c r="N39" s="148"/>
      <c r="O39" s="542"/>
      <c r="P39" s="542"/>
      <c r="Q39" s="184"/>
      <c r="R39" s="542">
        <f>B!B96</f>
        <v>23297.49483973081</v>
      </c>
      <c r="S39" s="542"/>
      <c r="T39" s="189"/>
      <c r="U39" s="540">
        <f>B!D96</f>
        <v>24402.33839929883</v>
      </c>
      <c r="V39" s="541"/>
      <c r="AL39" s="184"/>
      <c r="AM39" s="184"/>
      <c r="AN39" s="184"/>
      <c r="AO39" s="184"/>
    </row>
    <row r="40" spans="2:42" ht="18.75">
      <c r="B40" s="110" t="s">
        <v>633</v>
      </c>
      <c r="C40" s="101" t="s">
        <v>644</v>
      </c>
      <c r="D40" s="104"/>
      <c r="E40" s="25"/>
      <c r="F40" s="25"/>
      <c r="G40" s="25"/>
      <c r="H40" s="24"/>
      <c r="I40" s="25"/>
      <c r="J40" s="25"/>
      <c r="L40" s="102"/>
      <c r="M40" s="204" t="s">
        <v>505</v>
      </c>
      <c r="N40" s="191"/>
      <c r="O40" s="542"/>
      <c r="P40" s="542"/>
      <c r="Q40" s="205"/>
      <c r="R40" s="548">
        <f>R41+R42+R43</f>
        <v>16010.270673720399</v>
      </c>
      <c r="S40" s="548"/>
      <c r="T40" s="184"/>
      <c r="U40" s="538">
        <f>U41+U42+U43</f>
        <v>18809.31404723686</v>
      </c>
      <c r="V40" s="539"/>
      <c r="AL40" s="184"/>
      <c r="AM40" s="184"/>
      <c r="AN40" s="184"/>
      <c r="AO40" s="184"/>
      <c r="AP40" s="213"/>
    </row>
    <row r="41" spans="2:41" ht="18.75">
      <c r="B41" s="111" t="s">
        <v>634</v>
      </c>
      <c r="C41" s="101" t="s">
        <v>645</v>
      </c>
      <c r="D41" s="104"/>
      <c r="E41" s="25"/>
      <c r="F41" s="25"/>
      <c r="G41" s="25"/>
      <c r="H41" s="24"/>
      <c r="I41" s="25"/>
      <c r="J41" s="25"/>
      <c r="L41" s="102"/>
      <c r="M41" s="206" t="s">
        <v>490</v>
      </c>
      <c r="N41" s="148"/>
      <c r="O41" s="542"/>
      <c r="P41" s="542"/>
      <c r="Q41" s="189"/>
      <c r="R41" s="542">
        <f>R13/20*E27</f>
        <v>6828.151112333442</v>
      </c>
      <c r="S41" s="542"/>
      <c r="T41" s="182"/>
      <c r="U41" s="540">
        <f>U13/20*G27</f>
        <v>8104.088688135305</v>
      </c>
      <c r="V41" s="541"/>
      <c r="AI41" s="184"/>
      <c r="AJ41" s="184"/>
      <c r="AL41" s="184"/>
      <c r="AM41" s="184"/>
      <c r="AN41" s="184"/>
      <c r="AO41" s="184"/>
    </row>
    <row r="42" spans="2:41" ht="15">
      <c r="B42" s="112"/>
      <c r="C42" s="113"/>
      <c r="D42" s="114"/>
      <c r="E42" s="114"/>
      <c r="F42" s="114"/>
      <c r="G42" s="115"/>
      <c r="H42" s="114"/>
      <c r="I42" s="114"/>
      <c r="J42" s="114"/>
      <c r="K42" s="116"/>
      <c r="L42" s="117"/>
      <c r="M42" s="195" t="s">
        <v>254</v>
      </c>
      <c r="N42" s="148"/>
      <c r="O42" s="542"/>
      <c r="P42" s="542"/>
      <c r="Q42" s="184"/>
      <c r="R42" s="542">
        <f>R14</f>
        <v>6920.321576338398</v>
      </c>
      <c r="S42" s="542"/>
      <c r="T42" s="182"/>
      <c r="U42" s="540">
        <f>U14</f>
        <v>8020.321576338398</v>
      </c>
      <c r="V42" s="541"/>
      <c r="AI42" s="184"/>
      <c r="AJ42" s="184"/>
      <c r="AL42" s="184"/>
      <c r="AM42" s="184"/>
      <c r="AN42" s="184"/>
      <c r="AO42" s="184"/>
    </row>
    <row r="43" spans="3:75" s="189" customFormat="1" ht="15">
      <c r="C43" s="243"/>
      <c r="D43" s="184"/>
      <c r="G43" s="251"/>
      <c r="K43" s="248"/>
      <c r="L43" s="184"/>
      <c r="M43" s="197" t="s">
        <v>472</v>
      </c>
      <c r="N43" s="184"/>
      <c r="O43" s="542"/>
      <c r="P43" s="542"/>
      <c r="Q43" s="184"/>
      <c r="R43" s="542">
        <f>B!B121</f>
        <v>2261.797985048559</v>
      </c>
      <c r="S43" s="542"/>
      <c r="U43" s="540">
        <f>B!D121</f>
        <v>2684.903782763159</v>
      </c>
      <c r="V43" s="585"/>
      <c r="W43" s="184"/>
      <c r="X43" s="184"/>
      <c r="Y43" s="184"/>
      <c r="Z43" s="184"/>
      <c r="AA43" s="184"/>
      <c r="AB43" s="184"/>
      <c r="AC43" s="184"/>
      <c r="AD43" s="184"/>
      <c r="AE43" s="184"/>
      <c r="AF43" s="184"/>
      <c r="AG43" s="184"/>
      <c r="AH43" s="184"/>
      <c r="AI43" s="184"/>
      <c r="AJ43" s="184"/>
      <c r="AK43" s="185"/>
      <c r="AL43" s="184"/>
      <c r="AM43" s="184"/>
      <c r="AN43" s="184"/>
      <c r="AO43" s="184"/>
      <c r="AP43" s="185"/>
      <c r="AQ43" s="185"/>
      <c r="AR43" s="185"/>
      <c r="AS43" s="210"/>
      <c r="AT43" s="176"/>
      <c r="AU43" s="176"/>
      <c r="AV43" s="176"/>
      <c r="AW43" s="176"/>
      <c r="AX43" s="176"/>
      <c r="AY43" s="176"/>
      <c r="AZ43" s="176"/>
      <c r="BA43" s="176"/>
      <c r="BB43" s="176"/>
      <c r="BC43" s="176"/>
      <c r="BD43" s="176"/>
      <c r="BE43" s="176"/>
      <c r="BF43" s="176"/>
      <c r="BG43" s="176"/>
      <c r="BH43" s="176"/>
      <c r="BI43" s="176"/>
      <c r="BJ43" s="176"/>
      <c r="BK43" s="211"/>
      <c r="BL43" s="211"/>
      <c r="BM43" s="184"/>
      <c r="BN43" s="184"/>
      <c r="BO43" s="184"/>
      <c r="BP43" s="184"/>
      <c r="BQ43" s="184"/>
      <c r="BR43" s="184"/>
      <c r="BS43" s="184"/>
      <c r="BT43" s="184"/>
      <c r="BU43" s="184"/>
      <c r="BV43" s="184"/>
      <c r="BW43" s="184"/>
    </row>
    <row r="44" spans="3:64" s="184" customFormat="1" ht="18.75">
      <c r="C44" s="211"/>
      <c r="G44" s="208"/>
      <c r="K44" s="248"/>
      <c r="M44" s="207" t="s">
        <v>496</v>
      </c>
      <c r="O44" s="543">
        <f>O17-O33</f>
        <v>45196.41785182174</v>
      </c>
      <c r="P44" s="543"/>
      <c r="R44" s="543">
        <f>R17-R33</f>
        <v>29456.15098324966</v>
      </c>
      <c r="S44" s="543"/>
      <c r="U44" s="543">
        <f>U17-U33</f>
        <v>28341.893366279328</v>
      </c>
      <c r="V44" s="575"/>
      <c r="AK44" s="185"/>
      <c r="AP44" s="185"/>
      <c r="AQ44" s="185"/>
      <c r="AR44" s="185"/>
      <c r="AS44" s="210"/>
      <c r="AT44" s="176"/>
      <c r="AU44" s="176"/>
      <c r="AV44" s="176"/>
      <c r="AW44" s="176"/>
      <c r="AX44" s="176"/>
      <c r="AY44" s="176"/>
      <c r="AZ44" s="176"/>
      <c r="BA44" s="176"/>
      <c r="BB44" s="176"/>
      <c r="BC44" s="176"/>
      <c r="BD44" s="176"/>
      <c r="BE44" s="176"/>
      <c r="BF44" s="176"/>
      <c r="BG44" s="176"/>
      <c r="BH44" s="176"/>
      <c r="BI44" s="176"/>
      <c r="BJ44" s="176"/>
      <c r="BK44" s="211"/>
      <c r="BL44" s="211"/>
    </row>
    <row r="45" spans="3:64" s="184" customFormat="1" ht="15">
      <c r="C45" s="210"/>
      <c r="G45" s="208"/>
      <c r="K45" s="248"/>
      <c r="P45" s="197" t="s">
        <v>653</v>
      </c>
      <c r="Q45" s="193"/>
      <c r="R45" s="545">
        <f>(O26-R26)*E27</f>
        <v>82.19603690758322</v>
      </c>
      <c r="S45" s="546"/>
      <c r="U45" s="544">
        <f>(O26-U26)*G27</f>
        <v>25.358803003787898</v>
      </c>
      <c r="V45" s="544"/>
      <c r="AI45" s="185"/>
      <c r="AJ45" s="185"/>
      <c r="AK45" s="185"/>
      <c r="AL45" s="185"/>
      <c r="AM45" s="185"/>
      <c r="AN45" s="185"/>
      <c r="AO45" s="209"/>
      <c r="AP45" s="185"/>
      <c r="AQ45" s="185"/>
      <c r="AR45" s="185"/>
      <c r="AS45" s="210"/>
      <c r="AT45" s="176"/>
      <c r="AU45" s="176"/>
      <c r="AV45" s="176"/>
      <c r="AW45" s="176"/>
      <c r="AX45" s="176"/>
      <c r="AY45" s="176"/>
      <c r="AZ45" s="176"/>
      <c r="BA45" s="176"/>
      <c r="BB45" s="176"/>
      <c r="BC45" s="176"/>
      <c r="BD45" s="176"/>
      <c r="BE45" s="176"/>
      <c r="BF45" s="176"/>
      <c r="BG45" s="176"/>
      <c r="BH45" s="176"/>
      <c r="BI45" s="176"/>
      <c r="BJ45" s="176"/>
      <c r="BK45" s="211"/>
      <c r="BL45" s="211"/>
    </row>
    <row r="46" spans="3:64" s="184" customFormat="1" ht="15">
      <c r="C46" s="211"/>
      <c r="G46" s="208"/>
      <c r="K46" s="248"/>
      <c r="P46" s="197" t="s">
        <v>509</v>
      </c>
      <c r="Q46" s="193"/>
      <c r="R46" s="545">
        <f>(O27-R27)*(E29-E27)</f>
        <v>1219.2588967226484</v>
      </c>
      <c r="S46" s="545"/>
      <c r="U46" s="544">
        <f>(O27-U27)*(G29-G27)</f>
        <v>1312.2238201386654</v>
      </c>
      <c r="V46" s="544"/>
      <c r="AI46" s="185"/>
      <c r="AJ46" s="185"/>
      <c r="AK46" s="185"/>
      <c r="AL46" s="185"/>
      <c r="AM46" s="185"/>
      <c r="AN46" s="185"/>
      <c r="AO46" s="209"/>
      <c r="AP46" s="185"/>
      <c r="AQ46" s="185"/>
      <c r="AR46" s="185"/>
      <c r="AS46" s="210"/>
      <c r="AT46" s="176"/>
      <c r="AU46" s="176"/>
      <c r="AV46" s="176"/>
      <c r="AW46" s="176"/>
      <c r="AX46" s="176"/>
      <c r="AY46" s="176"/>
      <c r="AZ46" s="176"/>
      <c r="BA46" s="176"/>
      <c r="BB46" s="176"/>
      <c r="BC46" s="176"/>
      <c r="BD46" s="176"/>
      <c r="BE46" s="176"/>
      <c r="BF46" s="176"/>
      <c r="BG46" s="176"/>
      <c r="BH46" s="176"/>
      <c r="BI46" s="176"/>
      <c r="BJ46" s="176"/>
      <c r="BK46" s="211"/>
      <c r="BL46" s="211"/>
    </row>
    <row r="47" spans="3:64" s="184" customFormat="1" ht="15">
      <c r="C47" s="211"/>
      <c r="G47" s="208"/>
      <c r="K47" s="248"/>
      <c r="P47" s="197" t="s">
        <v>511</v>
      </c>
      <c r="R47" s="545">
        <f>(R45*E27)+((R46*(E29-E27)))</f>
        <v>10740.423616672186</v>
      </c>
      <c r="S47" s="546"/>
      <c r="U47" s="545">
        <f>(U45*G27)+((U46*(G29-G27)))</f>
        <v>10802.096197154777</v>
      </c>
      <c r="V47" s="546"/>
      <c r="AI47" s="185"/>
      <c r="AJ47" s="185"/>
      <c r="AK47" s="185"/>
      <c r="AL47" s="185"/>
      <c r="AM47" s="185"/>
      <c r="AN47" s="185"/>
      <c r="AO47" s="209"/>
      <c r="AP47" s="185"/>
      <c r="AQ47" s="185"/>
      <c r="AR47" s="185"/>
      <c r="AS47" s="210"/>
      <c r="AT47" s="176"/>
      <c r="AU47" s="176"/>
      <c r="AV47" s="176"/>
      <c r="AW47" s="176"/>
      <c r="AX47" s="176"/>
      <c r="AY47" s="176"/>
      <c r="AZ47" s="176"/>
      <c r="BA47" s="176"/>
      <c r="BB47" s="176"/>
      <c r="BC47" s="176"/>
      <c r="BD47" s="176"/>
      <c r="BE47" s="176"/>
      <c r="BF47" s="176"/>
      <c r="BG47" s="176"/>
      <c r="BH47" s="176"/>
      <c r="BI47" s="176"/>
      <c r="BJ47" s="176"/>
      <c r="BK47" s="211"/>
      <c r="BL47" s="211"/>
    </row>
    <row r="48" spans="3:64" s="184" customFormat="1" ht="15">
      <c r="C48" s="211"/>
      <c r="G48" s="208"/>
      <c r="K48" s="248"/>
      <c r="O48" s="208"/>
      <c r="R48" s="545">
        <f>R19-R47</f>
        <v>4877.035586890601</v>
      </c>
      <c r="S48" s="546"/>
      <c r="U48" s="545">
        <f>U19-U47</f>
        <v>5248.895280554661</v>
      </c>
      <c r="V48" s="546"/>
      <c r="AI48" s="185"/>
      <c r="AJ48" s="185"/>
      <c r="AK48" s="185"/>
      <c r="AL48" s="185"/>
      <c r="AM48" s="185"/>
      <c r="AN48" s="185"/>
      <c r="AO48" s="209"/>
      <c r="AP48" s="185"/>
      <c r="AQ48" s="185"/>
      <c r="AR48" s="185"/>
      <c r="AS48" s="210"/>
      <c r="AT48" s="176"/>
      <c r="AU48" s="176"/>
      <c r="AV48" s="176"/>
      <c r="AW48" s="176"/>
      <c r="AX48" s="176"/>
      <c r="AY48" s="176"/>
      <c r="AZ48" s="176"/>
      <c r="BA48" s="176"/>
      <c r="BB48" s="176"/>
      <c r="BC48" s="176"/>
      <c r="BD48" s="176"/>
      <c r="BE48" s="176"/>
      <c r="BF48" s="176"/>
      <c r="BG48" s="176"/>
      <c r="BH48" s="176"/>
      <c r="BI48" s="176"/>
      <c r="BJ48" s="176"/>
      <c r="BK48" s="211"/>
      <c r="BL48" s="211"/>
    </row>
    <row r="49" spans="7:64" s="184" customFormat="1" ht="15">
      <c r="G49" s="208"/>
      <c r="K49" s="248"/>
      <c r="O49" s="208"/>
      <c r="AI49" s="185"/>
      <c r="AJ49" s="185"/>
      <c r="AK49" s="185"/>
      <c r="AL49" s="185"/>
      <c r="AM49" s="185"/>
      <c r="AN49" s="185"/>
      <c r="AO49" s="209"/>
      <c r="AP49" s="185"/>
      <c r="AQ49" s="185"/>
      <c r="AR49" s="185"/>
      <c r="AS49" s="210"/>
      <c r="AT49" s="176"/>
      <c r="AU49" s="176"/>
      <c r="AV49" s="176"/>
      <c r="AW49" s="176"/>
      <c r="AX49" s="176"/>
      <c r="AY49" s="176"/>
      <c r="AZ49" s="176"/>
      <c r="BA49" s="176"/>
      <c r="BB49" s="176"/>
      <c r="BC49" s="176"/>
      <c r="BD49" s="176"/>
      <c r="BE49" s="176"/>
      <c r="BF49" s="176"/>
      <c r="BG49" s="176"/>
      <c r="BH49" s="176"/>
      <c r="BI49" s="176"/>
      <c r="BJ49" s="176"/>
      <c r="BK49" s="211"/>
      <c r="BL49" s="211"/>
    </row>
    <row r="50" spans="7:64" s="184" customFormat="1" ht="15">
      <c r="G50" s="208"/>
      <c r="K50" s="248"/>
      <c r="O50" s="208"/>
      <c r="AI50" s="185"/>
      <c r="AJ50" s="185"/>
      <c r="AK50" s="185"/>
      <c r="AL50" s="185"/>
      <c r="AM50" s="185"/>
      <c r="AN50" s="185"/>
      <c r="AO50" s="209"/>
      <c r="AP50" s="185"/>
      <c r="AQ50" s="185"/>
      <c r="AR50" s="185"/>
      <c r="AS50" s="210"/>
      <c r="AT50" s="176"/>
      <c r="AU50" s="176"/>
      <c r="AV50" s="176"/>
      <c r="AW50" s="176"/>
      <c r="AX50" s="176"/>
      <c r="AY50" s="176"/>
      <c r="AZ50" s="176"/>
      <c r="BA50" s="176"/>
      <c r="BB50" s="176"/>
      <c r="BC50" s="176"/>
      <c r="BD50" s="176"/>
      <c r="BE50" s="176"/>
      <c r="BF50" s="176"/>
      <c r="BG50" s="176"/>
      <c r="BH50" s="176"/>
      <c r="BI50" s="176"/>
      <c r="BJ50" s="176"/>
      <c r="BK50" s="211"/>
      <c r="BL50" s="211"/>
    </row>
    <row r="51" spans="7:64" s="184" customFormat="1" ht="15">
      <c r="G51" s="208"/>
      <c r="K51" s="248"/>
      <c r="O51" s="208"/>
      <c r="AI51" s="185"/>
      <c r="AJ51" s="185"/>
      <c r="AK51" s="185"/>
      <c r="AL51" s="185"/>
      <c r="AM51" s="185"/>
      <c r="AN51" s="185"/>
      <c r="AO51" s="209"/>
      <c r="AP51" s="185"/>
      <c r="AQ51" s="185"/>
      <c r="AR51" s="185"/>
      <c r="AS51" s="210"/>
      <c r="AT51" s="176"/>
      <c r="AU51" s="176"/>
      <c r="AV51" s="176"/>
      <c r="AW51" s="176"/>
      <c r="AX51" s="176"/>
      <c r="AY51" s="176"/>
      <c r="AZ51" s="176"/>
      <c r="BA51" s="176"/>
      <c r="BB51" s="176"/>
      <c r="BC51" s="176"/>
      <c r="BD51" s="176"/>
      <c r="BE51" s="176"/>
      <c r="BF51" s="176"/>
      <c r="BG51" s="176"/>
      <c r="BH51" s="176"/>
      <c r="BI51" s="176"/>
      <c r="BJ51" s="176"/>
      <c r="BK51" s="211"/>
      <c r="BL51" s="211"/>
    </row>
    <row r="52" spans="1:64" s="184" customFormat="1" ht="15">
      <c r="A52" s="185">
        <v>1</v>
      </c>
      <c r="B52" s="185" t="s">
        <v>317</v>
      </c>
      <c r="C52" s="185" t="str">
        <f>VLOOKUP(A52,$A$54:$C$57,3,)</f>
        <v>no</v>
      </c>
      <c r="G52" s="208"/>
      <c r="K52" s="248"/>
      <c r="O52" s="208"/>
      <c r="AI52" s="185"/>
      <c r="AJ52" s="185"/>
      <c r="AK52" s="185"/>
      <c r="AL52" s="185"/>
      <c r="AM52" s="185"/>
      <c r="AN52" s="185"/>
      <c r="AO52" s="209"/>
      <c r="AP52" s="185"/>
      <c r="AQ52" s="185"/>
      <c r="AR52" s="185"/>
      <c r="AS52" s="210"/>
      <c r="AT52" s="176"/>
      <c r="AU52" s="176"/>
      <c r="AV52" s="176"/>
      <c r="AW52" s="176"/>
      <c r="AX52" s="176"/>
      <c r="AY52" s="176"/>
      <c r="AZ52" s="176"/>
      <c r="BA52" s="176"/>
      <c r="BB52" s="176"/>
      <c r="BC52" s="176"/>
      <c r="BD52" s="176"/>
      <c r="BE52" s="176"/>
      <c r="BF52" s="176"/>
      <c r="BG52" s="176"/>
      <c r="BH52" s="176"/>
      <c r="BI52" s="176"/>
      <c r="BJ52" s="176"/>
      <c r="BK52" s="211"/>
      <c r="BL52" s="211"/>
    </row>
    <row r="53" spans="1:64" s="184" customFormat="1" ht="15">
      <c r="A53" s="185">
        <v>1</v>
      </c>
      <c r="B53" s="185" t="s">
        <v>316</v>
      </c>
      <c r="C53" s="185" t="str">
        <f>VLOOKUP(A53,$A$54:$C$57,3,)</f>
        <v>no</v>
      </c>
      <c r="G53" s="208"/>
      <c r="K53" s="248"/>
      <c r="O53" s="208"/>
      <c r="AI53" s="185"/>
      <c r="AJ53" s="185"/>
      <c r="AK53" s="185"/>
      <c r="AL53" s="185"/>
      <c r="AM53" s="185"/>
      <c r="AN53" s="185"/>
      <c r="AO53" s="209"/>
      <c r="AP53" s="185"/>
      <c r="AQ53" s="185"/>
      <c r="AR53" s="185"/>
      <c r="AS53" s="210"/>
      <c r="AT53" s="176"/>
      <c r="AU53" s="176"/>
      <c r="AV53" s="176"/>
      <c r="AW53" s="176"/>
      <c r="AX53" s="176"/>
      <c r="AY53" s="176"/>
      <c r="AZ53" s="176"/>
      <c r="BA53" s="176"/>
      <c r="BB53" s="176"/>
      <c r="BC53" s="176"/>
      <c r="BD53" s="176"/>
      <c r="BE53" s="176"/>
      <c r="BF53" s="176"/>
      <c r="BG53" s="176"/>
      <c r="BH53" s="176"/>
      <c r="BI53" s="176"/>
      <c r="BJ53" s="176"/>
      <c r="BK53" s="211"/>
      <c r="BL53" s="211"/>
    </row>
    <row r="54" spans="1:64" s="184" customFormat="1" ht="15">
      <c r="A54" s="185"/>
      <c r="B54" s="229" t="s">
        <v>264</v>
      </c>
      <c r="C54" s="185"/>
      <c r="G54" s="208"/>
      <c r="K54" s="248"/>
      <c r="O54" s="208"/>
      <c r="AI54" s="185"/>
      <c r="AJ54" s="185"/>
      <c r="AK54" s="185"/>
      <c r="AL54" s="185"/>
      <c r="AM54" s="185"/>
      <c r="AN54" s="185"/>
      <c r="AO54" s="209"/>
      <c r="AP54" s="185"/>
      <c r="AQ54" s="185"/>
      <c r="AR54" s="185"/>
      <c r="AS54" s="210"/>
      <c r="AT54" s="176"/>
      <c r="AU54" s="176"/>
      <c r="AV54" s="176"/>
      <c r="AW54" s="176"/>
      <c r="AX54" s="176"/>
      <c r="AY54" s="176"/>
      <c r="AZ54" s="176"/>
      <c r="BA54" s="176"/>
      <c r="BB54" s="176"/>
      <c r="BC54" s="176"/>
      <c r="BD54" s="176"/>
      <c r="BE54" s="176"/>
      <c r="BF54" s="176"/>
      <c r="BG54" s="176"/>
      <c r="BH54" s="176"/>
      <c r="BI54" s="176"/>
      <c r="BJ54" s="176"/>
      <c r="BK54" s="211"/>
      <c r="BL54" s="211"/>
    </row>
    <row r="55" spans="1:64" s="184" customFormat="1" ht="15">
      <c r="A55" s="185">
        <v>1</v>
      </c>
      <c r="B55" s="209" t="s">
        <v>386</v>
      </c>
      <c r="C55" s="185" t="s">
        <v>51</v>
      </c>
      <c r="G55" s="208"/>
      <c r="K55" s="248"/>
      <c r="O55" s="208"/>
      <c r="AI55" s="185"/>
      <c r="AJ55" s="185"/>
      <c r="AK55" s="185"/>
      <c r="AL55" s="185"/>
      <c r="AM55" s="185"/>
      <c r="AN55" s="185"/>
      <c r="AO55" s="209"/>
      <c r="AP55" s="185"/>
      <c r="AQ55" s="185"/>
      <c r="AR55" s="185"/>
      <c r="AS55" s="210"/>
      <c r="AT55" s="176"/>
      <c r="AU55" s="176"/>
      <c r="AV55" s="176"/>
      <c r="AW55" s="176"/>
      <c r="AX55" s="176"/>
      <c r="AY55" s="176"/>
      <c r="AZ55" s="176"/>
      <c r="BA55" s="176"/>
      <c r="BB55" s="176"/>
      <c r="BC55" s="176"/>
      <c r="BD55" s="176"/>
      <c r="BE55" s="176"/>
      <c r="BF55" s="176"/>
      <c r="BG55" s="176"/>
      <c r="BH55" s="176"/>
      <c r="BI55" s="176"/>
      <c r="BJ55" s="176"/>
      <c r="BK55" s="211"/>
      <c r="BL55" s="211"/>
    </row>
    <row r="56" spans="1:64" s="184" customFormat="1" ht="15">
      <c r="A56" s="185">
        <v>2</v>
      </c>
      <c r="B56" s="209" t="s">
        <v>384</v>
      </c>
      <c r="C56" s="185" t="s">
        <v>51</v>
      </c>
      <c r="G56" s="208"/>
      <c r="K56" s="248"/>
      <c r="O56" s="208"/>
      <c r="AI56" s="185"/>
      <c r="AJ56" s="185"/>
      <c r="AK56" s="185"/>
      <c r="AL56" s="185"/>
      <c r="AM56" s="185"/>
      <c r="AN56" s="185"/>
      <c r="AO56" s="209"/>
      <c r="AP56" s="185"/>
      <c r="AQ56" s="185"/>
      <c r="AR56" s="185"/>
      <c r="AS56" s="210"/>
      <c r="AT56" s="176"/>
      <c r="AU56" s="176"/>
      <c r="AV56" s="176"/>
      <c r="AW56" s="176"/>
      <c r="AX56" s="176"/>
      <c r="AY56" s="176"/>
      <c r="AZ56" s="176"/>
      <c r="BA56" s="176"/>
      <c r="BB56" s="176"/>
      <c r="BC56" s="176"/>
      <c r="BD56" s="176"/>
      <c r="BE56" s="176"/>
      <c r="BF56" s="176"/>
      <c r="BG56" s="176"/>
      <c r="BH56" s="176"/>
      <c r="BI56" s="176"/>
      <c r="BJ56" s="176"/>
      <c r="BK56" s="211"/>
      <c r="BL56" s="211"/>
    </row>
    <row r="57" spans="1:64" s="184" customFormat="1" ht="15">
      <c r="A57" s="185">
        <v>3</v>
      </c>
      <c r="B57" s="209" t="s">
        <v>385</v>
      </c>
      <c r="C57" s="185" t="s">
        <v>334</v>
      </c>
      <c r="G57" s="208"/>
      <c r="K57" s="248"/>
      <c r="O57" s="208"/>
      <c r="AI57" s="185"/>
      <c r="AJ57" s="185"/>
      <c r="AK57" s="185"/>
      <c r="AL57" s="185"/>
      <c r="AM57" s="185"/>
      <c r="AN57" s="185"/>
      <c r="AO57" s="209"/>
      <c r="AP57" s="185"/>
      <c r="AQ57" s="185"/>
      <c r="AR57" s="185"/>
      <c r="AS57" s="210"/>
      <c r="AT57" s="176"/>
      <c r="AU57" s="176"/>
      <c r="AV57" s="176"/>
      <c r="AW57" s="176"/>
      <c r="AX57" s="176"/>
      <c r="AY57" s="176"/>
      <c r="AZ57" s="176"/>
      <c r="BA57" s="176"/>
      <c r="BB57" s="176"/>
      <c r="BC57" s="176"/>
      <c r="BD57" s="176"/>
      <c r="BE57" s="176"/>
      <c r="BF57" s="176"/>
      <c r="BG57" s="176"/>
      <c r="BH57" s="176"/>
      <c r="BI57" s="176"/>
      <c r="BJ57" s="176"/>
      <c r="BK57" s="211"/>
      <c r="BL57" s="211"/>
    </row>
    <row r="58" spans="3:64" s="184" customFormat="1" ht="15">
      <c r="C58" s="211"/>
      <c r="G58" s="208"/>
      <c r="K58" s="248"/>
      <c r="O58" s="208"/>
      <c r="AI58" s="185"/>
      <c r="AJ58" s="185"/>
      <c r="AK58" s="185"/>
      <c r="AL58" s="185"/>
      <c r="AM58" s="185"/>
      <c r="AN58" s="185"/>
      <c r="AO58" s="209"/>
      <c r="AP58" s="185"/>
      <c r="AQ58" s="185"/>
      <c r="AR58" s="185"/>
      <c r="AS58" s="210"/>
      <c r="AT58" s="176"/>
      <c r="AU58" s="176"/>
      <c r="AV58" s="176"/>
      <c r="AW58" s="176"/>
      <c r="AX58" s="176"/>
      <c r="AY58" s="176"/>
      <c r="AZ58" s="176"/>
      <c r="BA58" s="176"/>
      <c r="BB58" s="176"/>
      <c r="BC58" s="176"/>
      <c r="BD58" s="176"/>
      <c r="BE58" s="176"/>
      <c r="BF58" s="176"/>
      <c r="BG58" s="176"/>
      <c r="BH58" s="176"/>
      <c r="BI58" s="176"/>
      <c r="BJ58" s="176"/>
      <c r="BK58" s="211"/>
      <c r="BL58" s="211"/>
    </row>
    <row r="59" spans="2:64" s="184" customFormat="1" ht="15">
      <c r="B59" s="185">
        <v>2</v>
      </c>
      <c r="C59" s="211"/>
      <c r="G59" s="208"/>
      <c r="K59" s="248"/>
      <c r="O59" s="208"/>
      <c r="AI59" s="185"/>
      <c r="AJ59" s="185"/>
      <c r="AK59" s="185"/>
      <c r="AL59" s="185"/>
      <c r="AM59" s="185"/>
      <c r="AN59" s="185"/>
      <c r="AO59" s="209"/>
      <c r="AP59" s="185"/>
      <c r="AQ59" s="185"/>
      <c r="AR59" s="185"/>
      <c r="AS59" s="210"/>
      <c r="AT59" s="176"/>
      <c r="AU59" s="176"/>
      <c r="AV59" s="176"/>
      <c r="AW59" s="176"/>
      <c r="AX59" s="176"/>
      <c r="AY59" s="176"/>
      <c r="AZ59" s="176"/>
      <c r="BA59" s="176"/>
      <c r="BB59" s="176"/>
      <c r="BC59" s="176"/>
      <c r="BD59" s="176"/>
      <c r="BE59" s="176"/>
      <c r="BF59" s="176"/>
      <c r="BG59" s="176"/>
      <c r="BH59" s="176"/>
      <c r="BI59" s="176"/>
      <c r="BJ59" s="176"/>
      <c r="BK59" s="211"/>
      <c r="BL59" s="211"/>
    </row>
    <row r="60" spans="2:64" s="184" customFormat="1" ht="15">
      <c r="B60" s="185">
        <v>1</v>
      </c>
      <c r="C60" s="211"/>
      <c r="G60" s="208"/>
      <c r="K60" s="248"/>
      <c r="O60" s="208"/>
      <c r="AI60" s="185"/>
      <c r="AJ60" s="185"/>
      <c r="AK60" s="185"/>
      <c r="AL60" s="185"/>
      <c r="AM60" s="185"/>
      <c r="AN60" s="185"/>
      <c r="AO60" s="209"/>
      <c r="AP60" s="185"/>
      <c r="AQ60" s="185"/>
      <c r="AR60" s="185"/>
      <c r="AS60" s="210"/>
      <c r="AT60" s="176"/>
      <c r="AU60" s="176"/>
      <c r="AV60" s="176"/>
      <c r="AW60" s="176"/>
      <c r="AX60" s="176"/>
      <c r="AY60" s="176"/>
      <c r="AZ60" s="176"/>
      <c r="BA60" s="176"/>
      <c r="BB60" s="176"/>
      <c r="BC60" s="176"/>
      <c r="BD60" s="176"/>
      <c r="BE60" s="176"/>
      <c r="BF60" s="176"/>
      <c r="BG60" s="176"/>
      <c r="BH60" s="176"/>
      <c r="BI60" s="176"/>
      <c r="BJ60" s="176"/>
      <c r="BK60" s="211"/>
      <c r="BL60" s="211"/>
    </row>
    <row r="61" spans="1:64" s="184" customFormat="1" ht="15">
      <c r="A61" s="176">
        <v>1</v>
      </c>
      <c r="B61" s="209" t="str">
        <f>VLOOKUP(A61,$A$63:$C$65,2,)</f>
        <v>                   No</v>
      </c>
      <c r="C61" s="176">
        <f>VLOOKUP(A61,$A$63:$C$65,3,)</f>
        <v>0</v>
      </c>
      <c r="D61" s="184" t="str">
        <f>VLOOKUP(A61,$A$63:$D$65,4,)</f>
        <v> </v>
      </c>
      <c r="G61" s="208"/>
      <c r="K61" s="248"/>
      <c r="O61" s="208"/>
      <c r="AI61" s="185"/>
      <c r="AJ61" s="185"/>
      <c r="AK61" s="185"/>
      <c r="AL61" s="185"/>
      <c r="AM61" s="185"/>
      <c r="AN61" s="185"/>
      <c r="AO61" s="209"/>
      <c r="AP61" s="185"/>
      <c r="AQ61" s="185"/>
      <c r="AR61" s="185"/>
      <c r="AS61" s="210"/>
      <c r="AT61" s="176"/>
      <c r="AU61" s="176"/>
      <c r="AV61" s="176"/>
      <c r="AW61" s="176"/>
      <c r="AX61" s="176"/>
      <c r="AY61" s="176"/>
      <c r="AZ61" s="176"/>
      <c r="BA61" s="176"/>
      <c r="BB61" s="176"/>
      <c r="BC61" s="176"/>
      <c r="BD61" s="176"/>
      <c r="BE61" s="176"/>
      <c r="BF61" s="176"/>
      <c r="BG61" s="176"/>
      <c r="BH61" s="176"/>
      <c r="BI61" s="176"/>
      <c r="BJ61" s="176"/>
      <c r="BK61" s="211"/>
      <c r="BL61" s="211"/>
    </row>
    <row r="62" spans="1:64" s="184" customFormat="1" ht="15">
      <c r="A62" s="176">
        <v>1</v>
      </c>
      <c r="B62" s="535" t="str">
        <f>VLOOKUP(A62,$A$63:$C$65,2,)</f>
        <v>                   No</v>
      </c>
      <c r="C62" s="176">
        <f>VLOOKUP(A62,$A$63:$C$65,3,)</f>
        <v>0</v>
      </c>
      <c r="D62" s="184" t="str">
        <f>VLOOKUP(A62,$A$63:$D$65,4,)</f>
        <v> </v>
      </c>
      <c r="G62" s="208"/>
      <c r="K62" s="248"/>
      <c r="O62" s="208"/>
      <c r="AI62" s="185"/>
      <c r="AJ62" s="185"/>
      <c r="AK62" s="185"/>
      <c r="AL62" s="185"/>
      <c r="AM62" s="185"/>
      <c r="AN62" s="185"/>
      <c r="AO62" s="209"/>
      <c r="AP62" s="185"/>
      <c r="AQ62" s="185"/>
      <c r="AR62" s="185"/>
      <c r="AS62" s="210"/>
      <c r="AT62" s="176"/>
      <c r="AU62" s="176"/>
      <c r="AV62" s="176"/>
      <c r="AW62" s="176"/>
      <c r="AX62" s="176"/>
      <c r="AY62" s="176"/>
      <c r="AZ62" s="176"/>
      <c r="BA62" s="176"/>
      <c r="BB62" s="176"/>
      <c r="BC62" s="176"/>
      <c r="BD62" s="176"/>
      <c r="BE62" s="176"/>
      <c r="BF62" s="176"/>
      <c r="BG62" s="176"/>
      <c r="BH62" s="176"/>
      <c r="BI62" s="176"/>
      <c r="BJ62" s="176"/>
      <c r="BK62" s="211"/>
      <c r="BL62" s="211"/>
    </row>
    <row r="63" spans="1:64" s="184" customFormat="1" ht="15">
      <c r="A63" s="176"/>
      <c r="B63" s="177" t="s">
        <v>48</v>
      </c>
      <c r="C63" s="176"/>
      <c r="G63" s="208"/>
      <c r="K63" s="248"/>
      <c r="O63" s="208"/>
      <c r="AI63" s="185"/>
      <c r="AJ63" s="185"/>
      <c r="AK63" s="185"/>
      <c r="AL63" s="185"/>
      <c r="AM63" s="185"/>
      <c r="AN63" s="185"/>
      <c r="AO63" s="209"/>
      <c r="AP63" s="185"/>
      <c r="AQ63" s="185"/>
      <c r="AR63" s="185"/>
      <c r="AS63" s="210"/>
      <c r="AT63" s="176"/>
      <c r="AU63" s="176"/>
      <c r="AV63" s="176"/>
      <c r="AW63" s="176"/>
      <c r="AX63" s="176"/>
      <c r="AY63" s="176"/>
      <c r="AZ63" s="176"/>
      <c r="BA63" s="176"/>
      <c r="BB63" s="176"/>
      <c r="BC63" s="176"/>
      <c r="BD63" s="176"/>
      <c r="BE63" s="176"/>
      <c r="BF63" s="176"/>
      <c r="BG63" s="176"/>
      <c r="BH63" s="176"/>
      <c r="BI63" s="176"/>
      <c r="BJ63" s="176"/>
      <c r="BK63" s="211"/>
      <c r="BL63" s="211"/>
    </row>
    <row r="64" spans="1:64" s="184" customFormat="1" ht="15">
      <c r="A64" s="176">
        <v>1</v>
      </c>
      <c r="B64" s="218" t="s">
        <v>292</v>
      </c>
      <c r="C64" s="176">
        <v>0</v>
      </c>
      <c r="D64" s="184" t="s">
        <v>201</v>
      </c>
      <c r="G64" s="208"/>
      <c r="K64" s="248"/>
      <c r="O64" s="208"/>
      <c r="AI64" s="185"/>
      <c r="AJ64" s="185"/>
      <c r="AK64" s="185"/>
      <c r="AL64" s="185"/>
      <c r="AM64" s="185"/>
      <c r="AN64" s="185"/>
      <c r="AO64" s="209"/>
      <c r="AP64" s="185"/>
      <c r="AQ64" s="185"/>
      <c r="AR64" s="185"/>
      <c r="AS64" s="210"/>
      <c r="AT64" s="176"/>
      <c r="AU64" s="176"/>
      <c r="AV64" s="176"/>
      <c r="AW64" s="176"/>
      <c r="AX64" s="176"/>
      <c r="AY64" s="176"/>
      <c r="AZ64" s="176"/>
      <c r="BA64" s="176"/>
      <c r="BB64" s="176"/>
      <c r="BC64" s="176"/>
      <c r="BD64" s="176"/>
      <c r="BE64" s="176"/>
      <c r="BF64" s="176"/>
      <c r="BG64" s="176"/>
      <c r="BH64" s="176"/>
      <c r="BI64" s="176"/>
      <c r="BJ64" s="176"/>
      <c r="BK64" s="211"/>
      <c r="BL64" s="211"/>
    </row>
    <row r="65" spans="1:64" s="184" customFormat="1" ht="15">
      <c r="A65" s="176">
        <v>2</v>
      </c>
      <c r="B65" s="218" t="s">
        <v>293</v>
      </c>
      <c r="C65" s="176">
        <v>550</v>
      </c>
      <c r="D65" s="184" t="s">
        <v>741</v>
      </c>
      <c r="G65" s="208"/>
      <c r="K65" s="248"/>
      <c r="O65" s="208"/>
      <c r="AI65" s="185"/>
      <c r="AJ65" s="185"/>
      <c r="AK65" s="185"/>
      <c r="AL65" s="185"/>
      <c r="AM65" s="185"/>
      <c r="AN65" s="185"/>
      <c r="AO65" s="209"/>
      <c r="AP65" s="185"/>
      <c r="AQ65" s="185"/>
      <c r="AR65" s="185"/>
      <c r="AS65" s="210"/>
      <c r="AT65" s="176"/>
      <c r="AU65" s="176"/>
      <c r="AV65" s="176"/>
      <c r="AW65" s="176"/>
      <c r="AX65" s="176"/>
      <c r="AY65" s="176"/>
      <c r="AZ65" s="176"/>
      <c r="BA65" s="176"/>
      <c r="BB65" s="176"/>
      <c r="BC65" s="176"/>
      <c r="BD65" s="176"/>
      <c r="BE65" s="176"/>
      <c r="BF65" s="176"/>
      <c r="BG65" s="176"/>
      <c r="BH65" s="176"/>
      <c r="BI65" s="176"/>
      <c r="BJ65" s="176"/>
      <c r="BK65" s="211"/>
      <c r="BL65" s="211"/>
    </row>
    <row r="66" spans="1:64" s="184" customFormat="1" ht="15">
      <c r="A66" s="176"/>
      <c r="B66" s="218"/>
      <c r="C66" s="176"/>
      <c r="G66" s="208"/>
      <c r="K66" s="248"/>
      <c r="O66" s="208"/>
      <c r="AI66" s="185"/>
      <c r="AJ66" s="185"/>
      <c r="AK66" s="185"/>
      <c r="AL66" s="185"/>
      <c r="AM66" s="185"/>
      <c r="AN66" s="185"/>
      <c r="AO66" s="209"/>
      <c r="AP66" s="185"/>
      <c r="AQ66" s="185"/>
      <c r="AR66" s="185"/>
      <c r="AS66" s="210"/>
      <c r="AT66" s="176"/>
      <c r="AU66" s="176"/>
      <c r="AV66" s="176"/>
      <c r="AW66" s="176"/>
      <c r="AX66" s="176"/>
      <c r="AY66" s="176"/>
      <c r="AZ66" s="176"/>
      <c r="BA66" s="176"/>
      <c r="BB66" s="176"/>
      <c r="BC66" s="176"/>
      <c r="BD66" s="176"/>
      <c r="BE66" s="176"/>
      <c r="BF66" s="176"/>
      <c r="BG66" s="176"/>
      <c r="BH66" s="176"/>
      <c r="BI66" s="176"/>
      <c r="BJ66" s="176"/>
      <c r="BK66" s="211"/>
      <c r="BL66" s="211"/>
    </row>
    <row r="67" spans="1:64" s="184" customFormat="1" ht="15">
      <c r="A67" s="176"/>
      <c r="B67" s="218"/>
      <c r="C67" s="176"/>
      <c r="G67" s="208"/>
      <c r="K67" s="248"/>
      <c r="O67" s="208"/>
      <c r="AI67" s="185"/>
      <c r="AJ67" s="185"/>
      <c r="AK67" s="185"/>
      <c r="AL67" s="185"/>
      <c r="AM67" s="185"/>
      <c r="AN67" s="185"/>
      <c r="AO67" s="209"/>
      <c r="AP67" s="185"/>
      <c r="AQ67" s="185"/>
      <c r="AR67" s="185"/>
      <c r="AS67" s="210"/>
      <c r="AT67" s="176"/>
      <c r="AU67" s="176"/>
      <c r="AV67" s="176"/>
      <c r="AW67" s="176"/>
      <c r="AX67" s="176"/>
      <c r="AY67" s="176"/>
      <c r="AZ67" s="176"/>
      <c r="BA67" s="176"/>
      <c r="BB67" s="176"/>
      <c r="BC67" s="176"/>
      <c r="BD67" s="176"/>
      <c r="BE67" s="176"/>
      <c r="BF67" s="176"/>
      <c r="BG67" s="176"/>
      <c r="BH67" s="176"/>
      <c r="BI67" s="176"/>
      <c r="BJ67" s="176"/>
      <c r="BK67" s="211"/>
      <c r="BL67" s="211"/>
    </row>
    <row r="68" spans="3:64" s="184" customFormat="1" ht="15">
      <c r="C68" s="211"/>
      <c r="G68" s="208"/>
      <c r="K68" s="248"/>
      <c r="O68" s="208"/>
      <c r="AI68" s="185"/>
      <c r="AJ68" s="185"/>
      <c r="AK68" s="185"/>
      <c r="AL68" s="185"/>
      <c r="AM68" s="185"/>
      <c r="AN68" s="185"/>
      <c r="AO68" s="209"/>
      <c r="AP68" s="185"/>
      <c r="AQ68" s="185"/>
      <c r="AR68" s="185"/>
      <c r="AS68" s="210"/>
      <c r="AT68" s="176"/>
      <c r="AU68" s="176"/>
      <c r="AV68" s="176"/>
      <c r="AW68" s="176"/>
      <c r="AX68" s="176"/>
      <c r="AY68" s="176"/>
      <c r="AZ68" s="176"/>
      <c r="BA68" s="176"/>
      <c r="BB68" s="176"/>
      <c r="BC68" s="176"/>
      <c r="BD68" s="176"/>
      <c r="BE68" s="176"/>
      <c r="BF68" s="176"/>
      <c r="BG68" s="176"/>
      <c r="BH68" s="176"/>
      <c r="BI68" s="176"/>
      <c r="BJ68" s="176"/>
      <c r="BK68" s="211"/>
      <c r="BL68" s="211"/>
    </row>
    <row r="69" spans="1:64" s="184" customFormat="1" ht="15">
      <c r="A69" s="176">
        <v>1</v>
      </c>
      <c r="B69" s="184" t="str">
        <f>VLOOKUP(A69,$A$71:$C$76,2,)</f>
        <v>                  no</v>
      </c>
      <c r="C69" s="226">
        <f>VLOOKUP(A69,$A$71:$C$76,3,)</f>
        <v>0.1</v>
      </c>
      <c r="D69" s="184">
        <f>VLOOKUP(A69,$A$71:$D$76,4,)</f>
        <v>0</v>
      </c>
      <c r="F69" s="184">
        <f>VLOOKUP(A69,$A$71:$F$76,6,)</f>
        <v>0</v>
      </c>
      <c r="G69" s="208"/>
      <c r="K69" s="248"/>
      <c r="O69" s="208"/>
      <c r="AI69" s="185"/>
      <c r="AJ69" s="185"/>
      <c r="AK69" s="185"/>
      <c r="AL69" s="185"/>
      <c r="AM69" s="185"/>
      <c r="AN69" s="185"/>
      <c r="AO69" s="209"/>
      <c r="AP69" s="185"/>
      <c r="AQ69" s="185"/>
      <c r="AR69" s="185"/>
      <c r="AS69" s="210"/>
      <c r="AT69" s="176"/>
      <c r="AU69" s="176"/>
      <c r="AV69" s="176"/>
      <c r="AW69" s="176"/>
      <c r="AX69" s="176"/>
      <c r="AY69" s="176"/>
      <c r="AZ69" s="176"/>
      <c r="BA69" s="176"/>
      <c r="BB69" s="176"/>
      <c r="BC69" s="176"/>
      <c r="BD69" s="176"/>
      <c r="BE69" s="176"/>
      <c r="BF69" s="176"/>
      <c r="BG69" s="176"/>
      <c r="BH69" s="176"/>
      <c r="BI69" s="176"/>
      <c r="BJ69" s="176"/>
      <c r="BK69" s="211"/>
      <c r="BL69" s="211"/>
    </row>
    <row r="70" spans="1:64" s="184" customFormat="1" ht="15">
      <c r="A70" s="176">
        <v>1</v>
      </c>
      <c r="B70" s="184" t="str">
        <f>VLOOKUP(A70,$A$71:$C$76,2,)</f>
        <v>                  no</v>
      </c>
      <c r="C70" s="226">
        <f>VLOOKUP(A70,$A$71:$C$76,3,)</f>
        <v>0.1</v>
      </c>
      <c r="D70" s="184">
        <f>VLOOKUP(A70,$A$71:$D$76,4,)</f>
        <v>0</v>
      </c>
      <c r="F70" s="184">
        <f>VLOOKUP(A70,$A$71:$F$76,6,)</f>
        <v>0</v>
      </c>
      <c r="G70" s="208"/>
      <c r="K70" s="248"/>
      <c r="O70" s="208"/>
      <c r="AI70" s="185"/>
      <c r="AJ70" s="185"/>
      <c r="AK70" s="185"/>
      <c r="AL70" s="185"/>
      <c r="AM70" s="185"/>
      <c r="AN70" s="185"/>
      <c r="AO70" s="209"/>
      <c r="AP70" s="185"/>
      <c r="AQ70" s="185"/>
      <c r="AR70" s="185"/>
      <c r="AS70" s="210"/>
      <c r="AT70" s="176"/>
      <c r="AU70" s="176"/>
      <c r="AV70" s="176"/>
      <c r="AW70" s="176"/>
      <c r="AX70" s="176"/>
      <c r="AY70" s="176"/>
      <c r="AZ70" s="176"/>
      <c r="BA70" s="176"/>
      <c r="BB70" s="176"/>
      <c r="BC70" s="176"/>
      <c r="BD70" s="176"/>
      <c r="BE70" s="176"/>
      <c r="BF70" s="176"/>
      <c r="BG70" s="176"/>
      <c r="BH70" s="176"/>
      <c r="BI70" s="176"/>
      <c r="BJ70" s="176"/>
      <c r="BK70" s="211"/>
      <c r="BL70" s="211"/>
    </row>
    <row r="71" spans="1:64" s="184" customFormat="1" ht="15">
      <c r="A71" s="176"/>
      <c r="B71" s="177" t="s">
        <v>149</v>
      </c>
      <c r="C71" s="176"/>
      <c r="G71" s="208"/>
      <c r="K71" s="248"/>
      <c r="O71" s="208"/>
      <c r="AI71" s="185"/>
      <c r="AJ71" s="185"/>
      <c r="AK71" s="185"/>
      <c r="AL71" s="185"/>
      <c r="AM71" s="185"/>
      <c r="AN71" s="185"/>
      <c r="AO71" s="209"/>
      <c r="AP71" s="185"/>
      <c r="AQ71" s="185"/>
      <c r="AR71" s="185"/>
      <c r="AS71" s="210"/>
      <c r="AT71" s="176"/>
      <c r="AU71" s="176"/>
      <c r="AV71" s="176"/>
      <c r="AW71" s="176"/>
      <c r="AX71" s="176"/>
      <c r="AY71" s="176"/>
      <c r="AZ71" s="176"/>
      <c r="BA71" s="176"/>
      <c r="BB71" s="176"/>
      <c r="BC71" s="176"/>
      <c r="BD71" s="176"/>
      <c r="BE71" s="176"/>
      <c r="BF71" s="176"/>
      <c r="BG71" s="176"/>
      <c r="BH71" s="176"/>
      <c r="BI71" s="176"/>
      <c r="BJ71" s="176"/>
      <c r="BK71" s="211"/>
      <c r="BL71" s="211"/>
    </row>
    <row r="72" spans="1:64" s="184" customFormat="1" ht="15">
      <c r="A72" s="176">
        <v>1</v>
      </c>
      <c r="B72" s="218" t="s">
        <v>297</v>
      </c>
      <c r="C72" s="226">
        <v>0.1</v>
      </c>
      <c r="D72" s="184">
        <v>0</v>
      </c>
      <c r="G72" s="208">
        <v>0</v>
      </c>
      <c r="K72" s="248"/>
      <c r="O72" s="208"/>
      <c r="AI72" s="185"/>
      <c r="AJ72" s="185"/>
      <c r="AK72" s="185"/>
      <c r="AL72" s="185"/>
      <c r="AM72" s="185"/>
      <c r="AN72" s="185"/>
      <c r="AO72" s="209"/>
      <c r="AP72" s="185"/>
      <c r="AQ72" s="185"/>
      <c r="AR72" s="185"/>
      <c r="AS72" s="210"/>
      <c r="AT72" s="176"/>
      <c r="AU72" s="176"/>
      <c r="AV72" s="176"/>
      <c r="AW72" s="176"/>
      <c r="AX72" s="176"/>
      <c r="AY72" s="176"/>
      <c r="AZ72" s="176"/>
      <c r="BA72" s="176"/>
      <c r="BB72" s="176"/>
      <c r="BC72" s="176"/>
      <c r="BD72" s="176"/>
      <c r="BE72" s="176"/>
      <c r="BF72" s="176"/>
      <c r="BG72" s="176"/>
      <c r="BH72" s="176"/>
      <c r="BI72" s="176"/>
      <c r="BJ72" s="176"/>
      <c r="BK72" s="211"/>
      <c r="BL72" s="211"/>
    </row>
    <row r="73" spans="1:64" s="184" customFormat="1" ht="15">
      <c r="A73" s="176">
        <v>2</v>
      </c>
      <c r="B73" s="218" t="s">
        <v>302</v>
      </c>
      <c r="C73" s="226">
        <v>23300</v>
      </c>
      <c r="D73" s="184" t="s">
        <v>844</v>
      </c>
      <c r="F73" s="208" t="s">
        <v>847</v>
      </c>
      <c r="G73" s="208"/>
      <c r="K73" s="248"/>
      <c r="O73" s="208"/>
      <c r="AI73" s="185"/>
      <c r="AJ73" s="185"/>
      <c r="AK73" s="185"/>
      <c r="AL73" s="185"/>
      <c r="AM73" s="185"/>
      <c r="AN73" s="185"/>
      <c r="AO73" s="209"/>
      <c r="AP73" s="185"/>
      <c r="AQ73" s="185"/>
      <c r="AR73" s="185"/>
      <c r="AS73" s="210"/>
      <c r="AT73" s="176"/>
      <c r="AU73" s="176"/>
      <c r="AV73" s="176"/>
      <c r="AW73" s="176"/>
      <c r="AX73" s="176"/>
      <c r="AY73" s="176"/>
      <c r="AZ73" s="176"/>
      <c r="BA73" s="176"/>
      <c r="BB73" s="176"/>
      <c r="BC73" s="176"/>
      <c r="BD73" s="176"/>
      <c r="BE73" s="176"/>
      <c r="BF73" s="176"/>
      <c r="BG73" s="176"/>
      <c r="BH73" s="176"/>
      <c r="BI73" s="176"/>
      <c r="BJ73" s="176"/>
      <c r="BK73" s="211"/>
      <c r="BL73" s="211"/>
    </row>
    <row r="74" spans="1:64" s="184" customFormat="1" ht="15">
      <c r="A74" s="185">
        <v>3</v>
      </c>
      <c r="B74" s="209" t="s">
        <v>301</v>
      </c>
      <c r="C74" s="226">
        <v>18000</v>
      </c>
      <c r="D74" s="184" t="s">
        <v>844</v>
      </c>
      <c r="F74" s="208" t="s">
        <v>847</v>
      </c>
      <c r="G74" s="208"/>
      <c r="K74" s="248"/>
      <c r="O74" s="208"/>
      <c r="AI74" s="185"/>
      <c r="AJ74" s="185"/>
      <c r="AK74" s="185"/>
      <c r="AL74" s="185"/>
      <c r="AM74" s="185"/>
      <c r="AN74" s="185"/>
      <c r="AO74" s="209"/>
      <c r="AP74" s="185"/>
      <c r="AQ74" s="185"/>
      <c r="AR74" s="185"/>
      <c r="AS74" s="210"/>
      <c r="AT74" s="176"/>
      <c r="AU74" s="176"/>
      <c r="AV74" s="176"/>
      <c r="AW74" s="176"/>
      <c r="AX74" s="176"/>
      <c r="AY74" s="176"/>
      <c r="AZ74" s="176"/>
      <c r="BA74" s="176"/>
      <c r="BB74" s="176"/>
      <c r="BC74" s="176"/>
      <c r="BD74" s="176"/>
      <c r="BE74" s="176"/>
      <c r="BF74" s="176"/>
      <c r="BG74" s="176"/>
      <c r="BH74" s="176"/>
      <c r="BI74" s="176"/>
      <c r="BJ74" s="176"/>
      <c r="BK74" s="211"/>
      <c r="BL74" s="211"/>
    </row>
    <row r="75" spans="1:64" s="184" customFormat="1" ht="15">
      <c r="A75" s="176">
        <v>4</v>
      </c>
      <c r="B75" s="218" t="s">
        <v>303</v>
      </c>
      <c r="C75" s="226">
        <v>6000</v>
      </c>
      <c r="D75" s="184" t="s">
        <v>845</v>
      </c>
      <c r="F75" s="208" t="s">
        <v>848</v>
      </c>
      <c r="G75" s="208"/>
      <c r="K75" s="248"/>
      <c r="O75" s="208"/>
      <c r="AI75" s="185"/>
      <c r="AJ75" s="185"/>
      <c r="AK75" s="185"/>
      <c r="AL75" s="185"/>
      <c r="AM75" s="185"/>
      <c r="AN75" s="185"/>
      <c r="AO75" s="209"/>
      <c r="AP75" s="185"/>
      <c r="AQ75" s="185"/>
      <c r="AR75" s="185"/>
      <c r="AS75" s="210"/>
      <c r="AT75" s="176"/>
      <c r="AU75" s="176"/>
      <c r="AV75" s="176"/>
      <c r="AW75" s="176"/>
      <c r="AX75" s="176"/>
      <c r="AY75" s="176"/>
      <c r="AZ75" s="176"/>
      <c r="BA75" s="176"/>
      <c r="BB75" s="176"/>
      <c r="BC75" s="176"/>
      <c r="BD75" s="176"/>
      <c r="BE75" s="176"/>
      <c r="BF75" s="176"/>
      <c r="BG75" s="176"/>
      <c r="BH75" s="176"/>
      <c r="BI75" s="176"/>
      <c r="BJ75" s="176"/>
      <c r="BK75" s="211"/>
      <c r="BL75" s="211"/>
    </row>
    <row r="76" spans="1:64" s="184" customFormat="1" ht="15">
      <c r="A76" s="176">
        <v>5</v>
      </c>
      <c r="B76" s="218" t="s">
        <v>304</v>
      </c>
      <c r="C76" s="226">
        <v>800</v>
      </c>
      <c r="D76" s="184" t="s">
        <v>846</v>
      </c>
      <c r="F76" s="208" t="s">
        <v>849</v>
      </c>
      <c r="G76" s="208"/>
      <c r="K76" s="248"/>
      <c r="O76" s="208"/>
      <c r="AI76" s="185"/>
      <c r="AJ76" s="185"/>
      <c r="AK76" s="185"/>
      <c r="AL76" s="185"/>
      <c r="AM76" s="185"/>
      <c r="AN76" s="185"/>
      <c r="AO76" s="209"/>
      <c r="AP76" s="185"/>
      <c r="AQ76" s="185"/>
      <c r="AR76" s="185"/>
      <c r="AS76" s="210"/>
      <c r="AT76" s="176"/>
      <c r="AU76" s="176"/>
      <c r="AV76" s="176"/>
      <c r="AW76" s="176"/>
      <c r="AX76" s="176"/>
      <c r="AY76" s="176"/>
      <c r="AZ76" s="176"/>
      <c r="BA76" s="176"/>
      <c r="BB76" s="176"/>
      <c r="BC76" s="176"/>
      <c r="BD76" s="176"/>
      <c r="BE76" s="176"/>
      <c r="BF76" s="176"/>
      <c r="BG76" s="176"/>
      <c r="BH76" s="176"/>
      <c r="BI76" s="176"/>
      <c r="BJ76" s="176"/>
      <c r="BK76" s="211"/>
      <c r="BL76" s="211"/>
    </row>
    <row r="77" spans="1:64" s="184" customFormat="1" ht="15">
      <c r="A77" s="176"/>
      <c r="B77" s="218"/>
      <c r="C77" s="226"/>
      <c r="G77" s="208"/>
      <c r="K77" s="248"/>
      <c r="O77" s="208"/>
      <c r="AI77" s="185"/>
      <c r="AJ77" s="185"/>
      <c r="AK77" s="185"/>
      <c r="AL77" s="185"/>
      <c r="AM77" s="185"/>
      <c r="AN77" s="185"/>
      <c r="AO77" s="209"/>
      <c r="AP77" s="185"/>
      <c r="AQ77" s="185"/>
      <c r="AR77" s="185"/>
      <c r="AS77" s="210"/>
      <c r="AT77" s="176"/>
      <c r="AU77" s="176"/>
      <c r="AV77" s="176"/>
      <c r="AW77" s="176"/>
      <c r="AX77" s="176"/>
      <c r="AY77" s="176"/>
      <c r="AZ77" s="176"/>
      <c r="BA77" s="176"/>
      <c r="BB77" s="176"/>
      <c r="BC77" s="176"/>
      <c r="BD77" s="176"/>
      <c r="BE77" s="176"/>
      <c r="BF77" s="176"/>
      <c r="BG77" s="176"/>
      <c r="BH77" s="176"/>
      <c r="BI77" s="176"/>
      <c r="BJ77" s="176"/>
      <c r="BK77" s="211"/>
      <c r="BL77" s="211"/>
    </row>
    <row r="78" spans="1:64" s="184" customFormat="1" ht="15">
      <c r="A78" s="176"/>
      <c r="B78" s="218"/>
      <c r="C78" s="226"/>
      <c r="G78" s="208"/>
      <c r="K78" s="248"/>
      <c r="O78" s="208"/>
      <c r="AI78" s="185"/>
      <c r="AJ78" s="185"/>
      <c r="AK78" s="185"/>
      <c r="AL78" s="185"/>
      <c r="AM78" s="185"/>
      <c r="AN78" s="185"/>
      <c r="AO78" s="209"/>
      <c r="AP78" s="185"/>
      <c r="AQ78" s="185"/>
      <c r="AR78" s="185"/>
      <c r="AS78" s="210"/>
      <c r="AT78" s="176"/>
      <c r="AU78" s="176"/>
      <c r="AV78" s="176"/>
      <c r="AW78" s="176"/>
      <c r="AX78" s="176"/>
      <c r="AY78" s="176"/>
      <c r="AZ78" s="176"/>
      <c r="BA78" s="176"/>
      <c r="BB78" s="176"/>
      <c r="BC78" s="176"/>
      <c r="BD78" s="176"/>
      <c r="BE78" s="176"/>
      <c r="BF78" s="176"/>
      <c r="BG78" s="176"/>
      <c r="BH78" s="176"/>
      <c r="BI78" s="176"/>
      <c r="BJ78" s="176"/>
      <c r="BK78" s="211"/>
      <c r="BL78" s="211"/>
    </row>
    <row r="79" spans="3:64" s="184" customFormat="1" ht="15">
      <c r="C79" s="211"/>
      <c r="G79" s="208"/>
      <c r="K79" s="248"/>
      <c r="O79" s="208"/>
      <c r="AI79" s="185"/>
      <c r="AJ79" s="185"/>
      <c r="AK79" s="185"/>
      <c r="AL79" s="185"/>
      <c r="AM79" s="185"/>
      <c r="AN79" s="185"/>
      <c r="AO79" s="209"/>
      <c r="AP79" s="185"/>
      <c r="AQ79" s="185"/>
      <c r="AR79" s="185"/>
      <c r="AS79" s="210"/>
      <c r="AT79" s="176"/>
      <c r="AU79" s="176"/>
      <c r="AV79" s="176"/>
      <c r="AW79" s="176"/>
      <c r="AX79" s="176"/>
      <c r="AY79" s="176"/>
      <c r="AZ79" s="176"/>
      <c r="BA79" s="176"/>
      <c r="BB79" s="176"/>
      <c r="BC79" s="176"/>
      <c r="BD79" s="176"/>
      <c r="BE79" s="176"/>
      <c r="BF79" s="176"/>
      <c r="BG79" s="176"/>
      <c r="BH79" s="176"/>
      <c r="BI79" s="176"/>
      <c r="BJ79" s="176"/>
      <c r="BK79" s="211"/>
      <c r="BL79" s="211"/>
    </row>
    <row r="80" spans="1:64" s="184" customFormat="1" ht="15">
      <c r="A80" s="527">
        <v>2</v>
      </c>
      <c r="B80" s="218" t="str">
        <f>VLOOKUP(A81,$A$82:$E$86,2,)</f>
        <v>               Media</v>
      </c>
      <c r="C80" s="249">
        <f>VLOOKUP(A81,$A$82:$E$86,3,)</f>
        <v>0.05</v>
      </c>
      <c r="D80" s="227">
        <f>VLOOKUP(A81,$A$82:$E$86,4,)</f>
        <v>0.06</v>
      </c>
      <c r="E80" s="200">
        <f>VLOOKUP(A81,$A$82:$E$86,5,)</f>
        <v>0.03</v>
      </c>
      <c r="G80" s="208" t="str">
        <f>VLOOKUP(A81,$A$82:$G$86,7,)</f>
        <v>Media</v>
      </c>
      <c r="K80" s="248"/>
      <c r="O80" s="208"/>
      <c r="AI80" s="185"/>
      <c r="AJ80" s="185"/>
      <c r="AK80" s="185"/>
      <c r="AL80" s="185"/>
      <c r="AM80" s="185"/>
      <c r="AN80" s="185"/>
      <c r="AO80" s="209"/>
      <c r="AP80" s="185"/>
      <c r="AQ80" s="185"/>
      <c r="AR80" s="185"/>
      <c r="AS80" s="210"/>
      <c r="AT80" s="176"/>
      <c r="AU80" s="176"/>
      <c r="AV80" s="176"/>
      <c r="AW80" s="176"/>
      <c r="AX80" s="176"/>
      <c r="AY80" s="176"/>
      <c r="AZ80" s="176"/>
      <c r="BA80" s="176"/>
      <c r="BB80" s="176"/>
      <c r="BC80" s="176"/>
      <c r="BD80" s="176"/>
      <c r="BE80" s="176"/>
      <c r="BF80" s="176"/>
      <c r="BG80" s="176"/>
      <c r="BH80" s="176"/>
      <c r="BI80" s="176"/>
      <c r="BJ80" s="176"/>
      <c r="BK80" s="211"/>
      <c r="BL80" s="211"/>
    </row>
    <row r="81" spans="1:64" s="184" customFormat="1" ht="15">
      <c r="A81" s="527">
        <v>3</v>
      </c>
      <c r="B81" s="209" t="str">
        <f>VLOOKUP(A81,$A$82:$E$86,2,)</f>
        <v>               Media</v>
      </c>
      <c r="C81" s="249">
        <f>VLOOKUP(A81,$A$82:$E$86,3,)</f>
        <v>0.05</v>
      </c>
      <c r="D81" s="249">
        <f>VLOOKUP(A81,$A$82:$E$86,4,)</f>
        <v>0.06</v>
      </c>
      <c r="E81" s="250">
        <f>VLOOKUP(A81,$A$82:$E$86,5,)</f>
        <v>0.03</v>
      </c>
      <c r="G81" s="208" t="str">
        <f>VLOOKUP(A81,$A$82:$G$86,7,)</f>
        <v>Media</v>
      </c>
      <c r="K81" s="248"/>
      <c r="O81" s="208"/>
      <c r="AI81" s="185"/>
      <c r="AJ81" s="185"/>
      <c r="AK81" s="185"/>
      <c r="AL81" s="185"/>
      <c r="AM81" s="185"/>
      <c r="AN81" s="185"/>
      <c r="AO81" s="209"/>
      <c r="AP81" s="185"/>
      <c r="AQ81" s="185"/>
      <c r="AR81" s="185"/>
      <c r="AS81" s="210"/>
      <c r="AT81" s="176"/>
      <c r="AU81" s="176"/>
      <c r="AV81" s="176"/>
      <c r="AW81" s="176"/>
      <c r="AX81" s="176"/>
      <c r="AY81" s="176"/>
      <c r="AZ81" s="176"/>
      <c r="BA81" s="176"/>
      <c r="BB81" s="176"/>
      <c r="BC81" s="176"/>
      <c r="BD81" s="176"/>
      <c r="BE81" s="176"/>
      <c r="BF81" s="176"/>
      <c r="BG81" s="176"/>
      <c r="BH81" s="176"/>
      <c r="BI81" s="176"/>
      <c r="BJ81" s="176"/>
      <c r="BK81" s="211"/>
      <c r="BL81" s="211"/>
    </row>
    <row r="82" spans="1:64" s="184" customFormat="1" ht="15">
      <c r="A82" s="527"/>
      <c r="B82" s="177" t="s">
        <v>55</v>
      </c>
      <c r="C82" s="176" t="s">
        <v>456</v>
      </c>
      <c r="D82" s="185" t="s">
        <v>458</v>
      </c>
      <c r="E82" s="185" t="s">
        <v>457</v>
      </c>
      <c r="G82" s="208"/>
      <c r="K82" s="248"/>
      <c r="O82" s="208"/>
      <c r="AI82" s="185"/>
      <c r="AJ82" s="185"/>
      <c r="AK82" s="185"/>
      <c r="AL82" s="185"/>
      <c r="AM82" s="185"/>
      <c r="AN82" s="185"/>
      <c r="AO82" s="209"/>
      <c r="AP82" s="185"/>
      <c r="AQ82" s="185"/>
      <c r="AR82" s="185"/>
      <c r="AS82" s="210"/>
      <c r="AT82" s="176"/>
      <c r="AU82" s="176"/>
      <c r="AV82" s="176"/>
      <c r="AW82" s="176"/>
      <c r="AX82" s="176"/>
      <c r="AY82" s="176"/>
      <c r="AZ82" s="176"/>
      <c r="BA82" s="176"/>
      <c r="BB82" s="176"/>
      <c r="BC82" s="176"/>
      <c r="BD82" s="176"/>
      <c r="BE82" s="176"/>
      <c r="BF82" s="176"/>
      <c r="BG82" s="176"/>
      <c r="BH82" s="176"/>
      <c r="BI82" s="176"/>
      <c r="BJ82" s="176"/>
      <c r="BK82" s="211"/>
      <c r="BL82" s="211"/>
    </row>
    <row r="83" spans="1:64" s="184" customFormat="1" ht="15">
      <c r="A83" s="184">
        <v>1</v>
      </c>
      <c r="B83" s="184" t="s">
        <v>307</v>
      </c>
      <c r="C83" s="185">
        <v>0</v>
      </c>
      <c r="D83" s="185">
        <v>0</v>
      </c>
      <c r="E83" s="185">
        <v>0</v>
      </c>
      <c r="G83" s="208" t="s">
        <v>802</v>
      </c>
      <c r="K83" s="248"/>
      <c r="O83" s="208"/>
      <c r="AI83" s="185"/>
      <c r="AJ83" s="185"/>
      <c r="AK83" s="185"/>
      <c r="AL83" s="185"/>
      <c r="AM83" s="185"/>
      <c r="AN83" s="185"/>
      <c r="AO83" s="209"/>
      <c r="AP83" s="185"/>
      <c r="AQ83" s="185"/>
      <c r="AR83" s="185"/>
      <c r="AS83" s="210"/>
      <c r="AT83" s="176"/>
      <c r="AU83" s="176"/>
      <c r="AV83" s="176"/>
      <c r="AW83" s="176"/>
      <c r="AX83" s="176"/>
      <c r="AY83" s="176"/>
      <c r="AZ83" s="176"/>
      <c r="BA83" s="176"/>
      <c r="BB83" s="176"/>
      <c r="BC83" s="176"/>
      <c r="BD83" s="176"/>
      <c r="BE83" s="176"/>
      <c r="BF83" s="176"/>
      <c r="BG83" s="176"/>
      <c r="BH83" s="176"/>
      <c r="BI83" s="176"/>
      <c r="BJ83" s="176"/>
      <c r="BK83" s="211"/>
      <c r="BL83" s="211"/>
    </row>
    <row r="84" spans="1:64" s="184" customFormat="1" ht="15">
      <c r="A84" s="527">
        <v>2</v>
      </c>
      <c r="B84" s="218" t="s">
        <v>459</v>
      </c>
      <c r="C84" s="249">
        <v>0.04</v>
      </c>
      <c r="D84" s="227">
        <v>0.04</v>
      </c>
      <c r="E84" s="200">
        <v>0.025</v>
      </c>
      <c r="G84" s="208" t="s">
        <v>803</v>
      </c>
      <c r="K84" s="248"/>
      <c r="O84" s="208"/>
      <c r="AI84" s="185"/>
      <c r="AJ84" s="185"/>
      <c r="AK84" s="185"/>
      <c r="AL84" s="185"/>
      <c r="AM84" s="185"/>
      <c r="AN84" s="185"/>
      <c r="AO84" s="209"/>
      <c r="AP84" s="185"/>
      <c r="AQ84" s="185"/>
      <c r="AR84" s="185"/>
      <c r="AS84" s="210"/>
      <c r="AT84" s="176"/>
      <c r="AU84" s="176"/>
      <c r="AV84" s="176"/>
      <c r="AW84" s="176"/>
      <c r="AX84" s="176"/>
      <c r="AY84" s="176"/>
      <c r="AZ84" s="176"/>
      <c r="BA84" s="176"/>
      <c r="BB84" s="176"/>
      <c r="BC84" s="176"/>
      <c r="BD84" s="176"/>
      <c r="BE84" s="176"/>
      <c r="BF84" s="176"/>
      <c r="BG84" s="176"/>
      <c r="BH84" s="176"/>
      <c r="BI84" s="176"/>
      <c r="BJ84" s="176"/>
      <c r="BK84" s="211"/>
      <c r="BL84" s="211"/>
    </row>
    <row r="85" spans="1:64" s="184" customFormat="1" ht="15">
      <c r="A85" s="527">
        <v>3</v>
      </c>
      <c r="B85" s="209" t="s">
        <v>461</v>
      </c>
      <c r="C85" s="227">
        <v>0.05</v>
      </c>
      <c r="D85" s="227">
        <v>0.06</v>
      </c>
      <c r="E85" s="200">
        <v>0.03</v>
      </c>
      <c r="G85" s="208" t="s">
        <v>804</v>
      </c>
      <c r="K85" s="248"/>
      <c r="O85" s="208"/>
      <c r="AI85" s="185"/>
      <c r="AJ85" s="185"/>
      <c r="AK85" s="185"/>
      <c r="AL85" s="185"/>
      <c r="AM85" s="185"/>
      <c r="AN85" s="185"/>
      <c r="AO85" s="209"/>
      <c r="AP85" s="185"/>
      <c r="AQ85" s="185"/>
      <c r="AR85" s="185"/>
      <c r="AS85" s="210"/>
      <c r="AT85" s="176"/>
      <c r="AU85" s="176"/>
      <c r="AV85" s="176"/>
      <c r="AW85" s="176"/>
      <c r="AX85" s="176"/>
      <c r="AY85" s="176"/>
      <c r="AZ85" s="176"/>
      <c r="BA85" s="176"/>
      <c r="BB85" s="176"/>
      <c r="BC85" s="176"/>
      <c r="BD85" s="176"/>
      <c r="BE85" s="176"/>
      <c r="BF85" s="176"/>
      <c r="BG85" s="176"/>
      <c r="BH85" s="176"/>
      <c r="BI85" s="176"/>
      <c r="BJ85" s="176"/>
      <c r="BK85" s="211"/>
      <c r="BL85" s="211"/>
    </row>
    <row r="86" spans="1:64" s="184" customFormat="1" ht="15">
      <c r="A86" s="185">
        <v>4</v>
      </c>
      <c r="B86" s="209" t="s">
        <v>460</v>
      </c>
      <c r="C86" s="249">
        <v>0.06</v>
      </c>
      <c r="D86" s="227">
        <v>0.08</v>
      </c>
      <c r="E86" s="200">
        <v>0.035</v>
      </c>
      <c r="G86" s="208" t="s">
        <v>805</v>
      </c>
      <c r="K86" s="248"/>
      <c r="O86" s="208"/>
      <c r="AI86" s="185"/>
      <c r="AJ86" s="185"/>
      <c r="AK86" s="185"/>
      <c r="AL86" s="185"/>
      <c r="AM86" s="185"/>
      <c r="AN86" s="185"/>
      <c r="AO86" s="209"/>
      <c r="AP86" s="185"/>
      <c r="AQ86" s="185"/>
      <c r="AR86" s="185"/>
      <c r="AS86" s="210"/>
      <c r="AT86" s="176"/>
      <c r="AU86" s="176"/>
      <c r="AV86" s="176"/>
      <c r="AW86" s="176"/>
      <c r="AX86" s="176"/>
      <c r="AY86" s="176"/>
      <c r="AZ86" s="176"/>
      <c r="BA86" s="176"/>
      <c r="BB86" s="176"/>
      <c r="BC86" s="176"/>
      <c r="BD86" s="176"/>
      <c r="BE86" s="176"/>
      <c r="BF86" s="176"/>
      <c r="BG86" s="176"/>
      <c r="BH86" s="176"/>
      <c r="BI86" s="176"/>
      <c r="BJ86" s="176"/>
      <c r="BK86" s="211"/>
      <c r="BL86" s="211"/>
    </row>
    <row r="87" spans="3:64" s="184" customFormat="1" ht="15">
      <c r="C87" s="211"/>
      <c r="G87" s="208"/>
      <c r="K87" s="248"/>
      <c r="O87" s="208"/>
      <c r="AI87" s="185"/>
      <c r="AJ87" s="185"/>
      <c r="AK87" s="185"/>
      <c r="AL87" s="185"/>
      <c r="AM87" s="185"/>
      <c r="AN87" s="185"/>
      <c r="AO87" s="209"/>
      <c r="AP87" s="185"/>
      <c r="AQ87" s="185"/>
      <c r="AR87" s="185"/>
      <c r="AS87" s="210"/>
      <c r="AT87" s="176"/>
      <c r="AU87" s="176"/>
      <c r="AV87" s="176"/>
      <c r="AW87" s="176"/>
      <c r="AX87" s="176"/>
      <c r="AY87" s="176"/>
      <c r="AZ87" s="176"/>
      <c r="BA87" s="176"/>
      <c r="BB87" s="176"/>
      <c r="BC87" s="176"/>
      <c r="BD87" s="176"/>
      <c r="BE87" s="176"/>
      <c r="BF87" s="176"/>
      <c r="BG87" s="176"/>
      <c r="BH87" s="176"/>
      <c r="BI87" s="176"/>
      <c r="BJ87" s="176"/>
      <c r="BK87" s="211"/>
      <c r="BL87" s="211"/>
    </row>
    <row r="88" spans="3:64" s="184" customFormat="1" ht="15">
      <c r="C88" s="211"/>
      <c r="G88" s="208"/>
      <c r="K88" s="248"/>
      <c r="O88" s="208"/>
      <c r="AI88" s="185"/>
      <c r="AJ88" s="185"/>
      <c r="AK88" s="185"/>
      <c r="AL88" s="185"/>
      <c r="AM88" s="185"/>
      <c r="AN88" s="185"/>
      <c r="AO88" s="209"/>
      <c r="AP88" s="185"/>
      <c r="AQ88" s="185"/>
      <c r="AR88" s="185"/>
      <c r="AS88" s="210"/>
      <c r="AT88" s="176"/>
      <c r="AU88" s="176"/>
      <c r="AV88" s="176"/>
      <c r="AW88" s="176"/>
      <c r="AX88" s="176"/>
      <c r="AY88" s="176"/>
      <c r="AZ88" s="176"/>
      <c r="BA88" s="176"/>
      <c r="BB88" s="176"/>
      <c r="BC88" s="176"/>
      <c r="BD88" s="176"/>
      <c r="BE88" s="176"/>
      <c r="BF88" s="176"/>
      <c r="BG88" s="176"/>
      <c r="BH88" s="176"/>
      <c r="BI88" s="176"/>
      <c r="BJ88" s="176"/>
      <c r="BK88" s="211"/>
      <c r="BL88" s="211"/>
    </row>
    <row r="89" spans="3:64" s="184" customFormat="1" ht="15">
      <c r="C89" s="211"/>
      <c r="G89" s="208"/>
      <c r="K89" s="248"/>
      <c r="O89" s="208"/>
      <c r="AI89" s="185"/>
      <c r="AJ89" s="185"/>
      <c r="AK89" s="185"/>
      <c r="AL89" s="185"/>
      <c r="AM89" s="185"/>
      <c r="AN89" s="185"/>
      <c r="AO89" s="209"/>
      <c r="AP89" s="185"/>
      <c r="AQ89" s="185"/>
      <c r="AR89" s="185"/>
      <c r="AS89" s="210"/>
      <c r="AT89" s="176"/>
      <c r="AU89" s="176"/>
      <c r="AV89" s="176"/>
      <c r="AW89" s="176"/>
      <c r="AX89" s="176"/>
      <c r="AY89" s="176"/>
      <c r="AZ89" s="176"/>
      <c r="BA89" s="176"/>
      <c r="BB89" s="176"/>
      <c r="BC89" s="176"/>
      <c r="BD89" s="176"/>
      <c r="BE89" s="176"/>
      <c r="BF89" s="176"/>
      <c r="BG89" s="176"/>
      <c r="BH89" s="176"/>
      <c r="BI89" s="176"/>
      <c r="BJ89" s="176"/>
      <c r="BK89" s="211"/>
      <c r="BL89" s="211"/>
    </row>
    <row r="90" spans="1:64" s="184" customFormat="1" ht="15">
      <c r="A90" s="184">
        <v>2</v>
      </c>
      <c r="B90" s="527" t="str">
        <f>VLOOKUP(A90,$A$92:$C$96,2,)</f>
        <v>      detrazione 50%</v>
      </c>
      <c r="C90" s="226">
        <f>VLOOKUP(A90,$A$92:$C$96,3,)+Y19</f>
        <v>0</v>
      </c>
      <c r="D90" s="210" t="str">
        <f>VLOOKUP(A90,$A$92:$D$96,4,)</f>
        <v>parzialmente integrato</v>
      </c>
      <c r="G90" s="208">
        <f>VLOOKUP(A90,$A$92:$G$96,7,)</f>
        <v>1</v>
      </c>
      <c r="H90" s="184" t="s">
        <v>856</v>
      </c>
      <c r="J90" s="210" t="str">
        <f>VLOOKUP(A90,$A$92:$J$96,10,)</f>
        <v>detrazione fiscale del 50%</v>
      </c>
      <c r="K90" s="248"/>
      <c r="O90" s="208"/>
      <c r="AI90" s="185"/>
      <c r="AJ90" s="185"/>
      <c r="AK90" s="185"/>
      <c r="AL90" s="185"/>
      <c r="AM90" s="185"/>
      <c r="AN90" s="185"/>
      <c r="AO90" s="209"/>
      <c r="AP90" s="185"/>
      <c r="AQ90" s="185"/>
      <c r="AR90" s="185"/>
      <c r="AS90" s="210"/>
      <c r="AT90" s="176"/>
      <c r="AU90" s="176"/>
      <c r="AV90" s="176"/>
      <c r="AW90" s="176"/>
      <c r="AX90" s="176"/>
      <c r="AY90" s="176"/>
      <c r="AZ90" s="176"/>
      <c r="BA90" s="176"/>
      <c r="BB90" s="176"/>
      <c r="BC90" s="176"/>
      <c r="BD90" s="176"/>
      <c r="BE90" s="176"/>
      <c r="BF90" s="176"/>
      <c r="BG90" s="176"/>
      <c r="BH90" s="176"/>
      <c r="BI90" s="176"/>
      <c r="BJ90" s="176"/>
      <c r="BK90" s="211"/>
      <c r="BL90" s="211"/>
    </row>
    <row r="91" spans="1:64" s="184" customFormat="1" ht="15">
      <c r="A91" s="226">
        <v>2</v>
      </c>
      <c r="B91" s="527" t="str">
        <f>VLOOKUP(A91,$A$92:$C$96,2,)</f>
        <v>      detrazione 50%</v>
      </c>
      <c r="C91" s="226">
        <f>VLOOKUP(A91,$A$92:$C$96,3,)+Y19</f>
        <v>0</v>
      </c>
      <c r="D91" s="210" t="str">
        <f>VLOOKUP(A91,$A$92:$D$96,4,)</f>
        <v>parzialmente integrato</v>
      </c>
      <c r="G91" s="208">
        <f>VLOOKUP(A91,$A$92:$G$96,7,)</f>
        <v>1</v>
      </c>
      <c r="H91" s="184" t="s">
        <v>855</v>
      </c>
      <c r="J91" s="210" t="str">
        <f>VLOOKUP(A91,$A$92:$J$96,10,)</f>
        <v>detrazione fiscale del 50%</v>
      </c>
      <c r="K91" s="248"/>
      <c r="O91" s="208"/>
      <c r="AI91" s="185"/>
      <c r="AJ91" s="185"/>
      <c r="AK91" s="185"/>
      <c r="AL91" s="185"/>
      <c r="AM91" s="185"/>
      <c r="AN91" s="185"/>
      <c r="AO91" s="209"/>
      <c r="AP91" s="185"/>
      <c r="AQ91" s="185"/>
      <c r="AR91" s="185"/>
      <c r="AS91" s="210"/>
      <c r="AT91" s="176"/>
      <c r="AU91" s="176"/>
      <c r="AV91" s="176"/>
      <c r="AW91" s="176"/>
      <c r="AX91" s="176"/>
      <c r="AY91" s="176"/>
      <c r="AZ91" s="176"/>
      <c r="BA91" s="176"/>
      <c r="BB91" s="176"/>
      <c r="BC91" s="176"/>
      <c r="BD91" s="176"/>
      <c r="BE91" s="176"/>
      <c r="BF91" s="176"/>
      <c r="BG91" s="176"/>
      <c r="BH91" s="176"/>
      <c r="BI91" s="176"/>
      <c r="BJ91" s="176"/>
      <c r="BK91" s="211"/>
      <c r="BL91" s="211"/>
    </row>
    <row r="92" spans="1:64" s="184" customFormat="1" ht="15">
      <c r="A92" s="210"/>
      <c r="B92" s="229" t="s">
        <v>151</v>
      </c>
      <c r="C92" s="176"/>
      <c r="G92" s="208"/>
      <c r="K92" s="248"/>
      <c r="O92" s="208"/>
      <c r="AI92" s="185"/>
      <c r="AJ92" s="185"/>
      <c r="AK92" s="185"/>
      <c r="AL92" s="185"/>
      <c r="AM92" s="185"/>
      <c r="AN92" s="185"/>
      <c r="AO92" s="209"/>
      <c r="AP92" s="185"/>
      <c r="AQ92" s="185"/>
      <c r="AR92" s="185"/>
      <c r="AS92" s="210"/>
      <c r="AT92" s="176"/>
      <c r="AU92" s="176"/>
      <c r="AV92" s="176"/>
      <c r="AW92" s="176"/>
      <c r="AX92" s="176"/>
      <c r="AY92" s="176"/>
      <c r="AZ92" s="176"/>
      <c r="BA92" s="176"/>
      <c r="BB92" s="176"/>
      <c r="BC92" s="176"/>
      <c r="BD92" s="176"/>
      <c r="BE92" s="176"/>
      <c r="BF92" s="176"/>
      <c r="BG92" s="176"/>
      <c r="BH92" s="176"/>
      <c r="BI92" s="176"/>
      <c r="BJ92" s="176"/>
      <c r="BK92" s="211"/>
      <c r="BL92" s="211"/>
    </row>
    <row r="93" spans="1:64" s="184" customFormat="1" ht="15">
      <c r="A93" s="226">
        <v>1</v>
      </c>
      <c r="B93" s="218" t="s">
        <v>288</v>
      </c>
      <c r="C93" s="176">
        <v>0</v>
      </c>
      <c r="D93" s="184" t="s">
        <v>774</v>
      </c>
      <c r="G93" s="208">
        <v>1</v>
      </c>
      <c r="J93" s="184" t="s">
        <v>771</v>
      </c>
      <c r="K93" s="248"/>
      <c r="O93" s="208"/>
      <c r="AI93" s="185"/>
      <c r="AJ93" s="185"/>
      <c r="AK93" s="185"/>
      <c r="AL93" s="185"/>
      <c r="AM93" s="185"/>
      <c r="AN93" s="185"/>
      <c r="AO93" s="209"/>
      <c r="AP93" s="185"/>
      <c r="AQ93" s="185"/>
      <c r="AR93" s="185"/>
      <c r="AS93" s="210"/>
      <c r="AT93" s="176"/>
      <c r="AU93" s="176"/>
      <c r="AV93" s="176"/>
      <c r="AW93" s="176"/>
      <c r="AX93" s="176"/>
      <c r="AY93" s="176"/>
      <c r="AZ93" s="176"/>
      <c r="BA93" s="176"/>
      <c r="BB93" s="176"/>
      <c r="BC93" s="176"/>
      <c r="BD93" s="176"/>
      <c r="BE93" s="176"/>
      <c r="BF93" s="176"/>
      <c r="BG93" s="176"/>
      <c r="BH93" s="176"/>
      <c r="BI93" s="176"/>
      <c r="BJ93" s="176"/>
      <c r="BK93" s="211"/>
      <c r="BL93" s="211"/>
    </row>
    <row r="94" spans="1:64" s="184" customFormat="1" ht="15">
      <c r="A94" s="226">
        <v>2</v>
      </c>
      <c r="B94" s="218" t="s">
        <v>289</v>
      </c>
      <c r="C94" s="176">
        <v>0</v>
      </c>
      <c r="D94" s="184" t="s">
        <v>774</v>
      </c>
      <c r="G94" s="208">
        <v>1</v>
      </c>
      <c r="J94" s="184" t="s">
        <v>772</v>
      </c>
      <c r="K94" s="248"/>
      <c r="O94" s="208"/>
      <c r="AI94" s="185"/>
      <c r="AJ94" s="185"/>
      <c r="AK94" s="185"/>
      <c r="AL94" s="185"/>
      <c r="AM94" s="185"/>
      <c r="AN94" s="185"/>
      <c r="AO94" s="209"/>
      <c r="AP94" s="185"/>
      <c r="AQ94" s="185"/>
      <c r="AR94" s="185"/>
      <c r="AS94" s="210"/>
      <c r="AT94" s="176"/>
      <c r="AU94" s="176"/>
      <c r="AV94" s="176"/>
      <c r="AW94" s="176"/>
      <c r="AX94" s="176"/>
      <c r="AY94" s="176"/>
      <c r="AZ94" s="176"/>
      <c r="BA94" s="176"/>
      <c r="BB94" s="176"/>
      <c r="BC94" s="176"/>
      <c r="BD94" s="176"/>
      <c r="BE94" s="176"/>
      <c r="BF94" s="176"/>
      <c r="BG94" s="176"/>
      <c r="BH94" s="176"/>
      <c r="BI94" s="176"/>
      <c r="BJ94" s="176"/>
      <c r="BK94" s="211"/>
      <c r="BL94" s="211"/>
    </row>
    <row r="95" spans="1:64" s="184" customFormat="1" ht="15">
      <c r="A95" s="226">
        <v>3</v>
      </c>
      <c r="B95" s="218" t="s">
        <v>287</v>
      </c>
      <c r="C95" s="176">
        <v>450</v>
      </c>
      <c r="D95" s="184" t="s">
        <v>773</v>
      </c>
      <c r="G95" s="208">
        <v>0</v>
      </c>
      <c r="J95" s="184" t="s">
        <v>842</v>
      </c>
      <c r="K95" s="248"/>
      <c r="O95" s="208"/>
      <c r="AI95" s="185"/>
      <c r="AJ95" s="185"/>
      <c r="AK95" s="185"/>
      <c r="AL95" s="185"/>
      <c r="AM95" s="185"/>
      <c r="AN95" s="185"/>
      <c r="AO95" s="209"/>
      <c r="AP95" s="185"/>
      <c r="AQ95" s="185"/>
      <c r="AR95" s="185"/>
      <c r="AS95" s="210"/>
      <c r="AT95" s="176"/>
      <c r="AU95" s="176"/>
      <c r="AV95" s="176"/>
      <c r="AW95" s="176"/>
      <c r="AX95" s="176"/>
      <c r="AY95" s="176"/>
      <c r="AZ95" s="176"/>
      <c r="BA95" s="176"/>
      <c r="BB95" s="176"/>
      <c r="BC95" s="176"/>
      <c r="BD95" s="176"/>
      <c r="BE95" s="176"/>
      <c r="BF95" s="176"/>
      <c r="BG95" s="176"/>
      <c r="BH95" s="176"/>
      <c r="BI95" s="176"/>
      <c r="BJ95" s="176"/>
      <c r="BK95" s="211"/>
      <c r="BL95" s="211"/>
    </row>
    <row r="96" spans="1:64" s="184" customFormat="1" ht="15">
      <c r="A96" s="226">
        <v>4</v>
      </c>
      <c r="B96" s="218" t="s">
        <v>290</v>
      </c>
      <c r="C96" s="176">
        <v>0</v>
      </c>
      <c r="D96" s="184" t="s">
        <v>774</v>
      </c>
      <c r="G96" s="208">
        <v>0</v>
      </c>
      <c r="J96" s="184" t="s">
        <v>842</v>
      </c>
      <c r="K96" s="248"/>
      <c r="O96" s="208"/>
      <c r="AI96" s="185"/>
      <c r="AJ96" s="185"/>
      <c r="AK96" s="185"/>
      <c r="AL96" s="185"/>
      <c r="AM96" s="185"/>
      <c r="AN96" s="185"/>
      <c r="AO96" s="209"/>
      <c r="AP96" s="185"/>
      <c r="AQ96" s="185"/>
      <c r="AR96" s="185"/>
      <c r="AS96" s="210"/>
      <c r="AT96" s="176"/>
      <c r="AU96" s="176"/>
      <c r="AV96" s="176"/>
      <c r="AW96" s="176"/>
      <c r="AX96" s="176"/>
      <c r="AY96" s="176"/>
      <c r="AZ96" s="176"/>
      <c r="BA96" s="176"/>
      <c r="BB96" s="176"/>
      <c r="BC96" s="176"/>
      <c r="BD96" s="176"/>
      <c r="BE96" s="176"/>
      <c r="BF96" s="176"/>
      <c r="BG96" s="176"/>
      <c r="BH96" s="176"/>
      <c r="BI96" s="176"/>
      <c r="BJ96" s="176"/>
      <c r="BK96" s="211"/>
      <c r="BL96" s="211"/>
    </row>
    <row r="97" spans="3:64" s="184" customFormat="1" ht="15">
      <c r="C97" s="211"/>
      <c r="G97" s="208"/>
      <c r="K97" s="248"/>
      <c r="O97" s="208"/>
      <c r="AI97" s="185"/>
      <c r="AJ97" s="185"/>
      <c r="AK97" s="185"/>
      <c r="AL97" s="185"/>
      <c r="AM97" s="185"/>
      <c r="AN97" s="185"/>
      <c r="AO97" s="209"/>
      <c r="AP97" s="185"/>
      <c r="AQ97" s="185"/>
      <c r="AR97" s="185"/>
      <c r="AS97" s="210"/>
      <c r="AT97" s="176"/>
      <c r="AU97" s="176"/>
      <c r="AV97" s="176"/>
      <c r="AW97" s="176"/>
      <c r="AX97" s="176"/>
      <c r="AY97" s="176"/>
      <c r="AZ97" s="176"/>
      <c r="BA97" s="176"/>
      <c r="BB97" s="176"/>
      <c r="BC97" s="176"/>
      <c r="BD97" s="176"/>
      <c r="BE97" s="176"/>
      <c r="BF97" s="176"/>
      <c r="BG97" s="176"/>
      <c r="BH97" s="176"/>
      <c r="BI97" s="176"/>
      <c r="BJ97" s="176"/>
      <c r="BK97" s="211"/>
      <c r="BL97" s="211"/>
    </row>
    <row r="98" spans="3:64" s="184" customFormat="1" ht="15">
      <c r="C98" s="211"/>
      <c r="G98" s="208"/>
      <c r="K98" s="248"/>
      <c r="O98" s="208"/>
      <c r="AI98" s="185"/>
      <c r="AJ98" s="185"/>
      <c r="AK98" s="185"/>
      <c r="AL98" s="185"/>
      <c r="AM98" s="185"/>
      <c r="AN98" s="185"/>
      <c r="AO98" s="209"/>
      <c r="AP98" s="185"/>
      <c r="AQ98" s="185"/>
      <c r="AR98" s="185"/>
      <c r="AS98" s="210"/>
      <c r="AT98" s="176"/>
      <c r="AU98" s="176"/>
      <c r="AV98" s="176"/>
      <c r="AW98" s="176"/>
      <c r="AX98" s="176"/>
      <c r="AY98" s="176"/>
      <c r="AZ98" s="176"/>
      <c r="BA98" s="176"/>
      <c r="BB98" s="176"/>
      <c r="BC98" s="176"/>
      <c r="BD98" s="176"/>
      <c r="BE98" s="176"/>
      <c r="BF98" s="176"/>
      <c r="BG98" s="176"/>
      <c r="BH98" s="176"/>
      <c r="BI98" s="176"/>
      <c r="BJ98" s="176"/>
      <c r="BK98" s="211"/>
      <c r="BL98" s="211"/>
    </row>
    <row r="99" spans="3:64" s="184" customFormat="1" ht="15">
      <c r="C99" s="211"/>
      <c r="G99" s="208"/>
      <c r="K99" s="248"/>
      <c r="O99" s="208"/>
      <c r="AI99" s="185"/>
      <c r="AJ99" s="185"/>
      <c r="AK99" s="185"/>
      <c r="AL99" s="185"/>
      <c r="AM99" s="185"/>
      <c r="AN99" s="185"/>
      <c r="AO99" s="209"/>
      <c r="AP99" s="185"/>
      <c r="AQ99" s="185"/>
      <c r="AR99" s="185"/>
      <c r="AS99" s="210"/>
      <c r="AT99" s="176"/>
      <c r="AU99" s="176"/>
      <c r="AV99" s="176"/>
      <c r="AW99" s="176"/>
      <c r="AX99" s="176"/>
      <c r="AY99" s="176"/>
      <c r="AZ99" s="176"/>
      <c r="BA99" s="176"/>
      <c r="BB99" s="176"/>
      <c r="BC99" s="176"/>
      <c r="BD99" s="176"/>
      <c r="BE99" s="176"/>
      <c r="BF99" s="176"/>
      <c r="BG99" s="176"/>
      <c r="BH99" s="176"/>
      <c r="BI99" s="176"/>
      <c r="BJ99" s="176"/>
      <c r="BK99" s="211"/>
      <c r="BL99" s="211"/>
    </row>
    <row r="100" spans="2:64" s="184" customFormat="1" ht="15">
      <c r="B100" s="177" t="s">
        <v>146</v>
      </c>
      <c r="D100" s="184" t="str">
        <f>IF(A102=4,D102,H102)</f>
        <v>POMPA DI CALORE</v>
      </c>
      <c r="O100" s="208"/>
      <c r="U100" s="184">
        <f>IF(A102=1,U103,U101)</f>
        <v>2500</v>
      </c>
      <c r="AI100" s="185"/>
      <c r="AJ100" s="185"/>
      <c r="AK100" s="185"/>
      <c r="AL100" s="185"/>
      <c r="AM100" s="185"/>
      <c r="AN100" s="185"/>
      <c r="AO100" s="209"/>
      <c r="AP100" s="185"/>
      <c r="AQ100" s="185"/>
      <c r="AR100" s="185"/>
      <c r="AS100" s="210"/>
      <c r="AT100" s="176"/>
      <c r="AU100" s="176"/>
      <c r="AV100" s="176"/>
      <c r="AW100" s="176"/>
      <c r="AX100" s="176"/>
      <c r="AY100" s="176"/>
      <c r="AZ100" s="176"/>
      <c r="BA100" s="176"/>
      <c r="BB100" s="176"/>
      <c r="BC100" s="176"/>
      <c r="BD100" s="176"/>
      <c r="BE100" s="176"/>
      <c r="BF100" s="176"/>
      <c r="BG100" s="176"/>
      <c r="BH100" s="176"/>
      <c r="BI100" s="176"/>
      <c r="BJ100" s="176"/>
      <c r="BK100" s="211"/>
      <c r="BL100" s="211"/>
    </row>
    <row r="101" spans="4:64" s="184" customFormat="1" ht="15">
      <c r="D101" s="184" t="str">
        <f>IF(A102=1,0,D100)</f>
        <v>POMPA DI CALORE</v>
      </c>
      <c r="H101" s="184" t="str">
        <f>VLOOKUP(A102,$A$103:$D$108,4,)</f>
        <v>per il riscaldamento dell'acqua calda sanitaria</v>
      </c>
      <c r="K101" s="248"/>
      <c r="O101" s="208"/>
      <c r="U101" s="184">
        <f>VLOOKUP(A102,$A$103:$U$108,21,)</f>
        <v>2500</v>
      </c>
      <c r="AI101" s="185"/>
      <c r="AJ101" s="185"/>
      <c r="AK101" s="185"/>
      <c r="AL101" s="185"/>
      <c r="AM101" s="185"/>
      <c r="AN101" s="185"/>
      <c r="AO101" s="209"/>
      <c r="AP101" s="185"/>
      <c r="AQ101" s="185"/>
      <c r="AR101" s="185"/>
      <c r="AS101" s="210"/>
      <c r="AT101" s="176"/>
      <c r="AU101" s="176"/>
      <c r="AV101" s="176"/>
      <c r="AW101" s="176"/>
      <c r="AX101" s="176"/>
      <c r="AY101" s="176"/>
      <c r="AZ101" s="176"/>
      <c r="BA101" s="176"/>
      <c r="BB101" s="176"/>
      <c r="BC101" s="176"/>
      <c r="BD101" s="176"/>
      <c r="BE101" s="176"/>
      <c r="BF101" s="176"/>
      <c r="BG101" s="176"/>
      <c r="BH101" s="176"/>
      <c r="BI101" s="176"/>
      <c r="BJ101" s="176"/>
      <c r="BK101" s="211"/>
      <c r="BL101" s="211"/>
    </row>
    <row r="102" spans="1:64" s="184" customFormat="1" ht="15">
      <c r="A102" s="177">
        <v>3</v>
      </c>
      <c r="B102" s="229" t="s">
        <v>316</v>
      </c>
      <c r="C102" s="177" t="str">
        <f>VLOOKUP(A102,$A$103:$D$108,3,)</f>
        <v>ACS</v>
      </c>
      <c r="D102" s="184" t="s">
        <v>840</v>
      </c>
      <c r="G102" s="208"/>
      <c r="H102" s="184" t="s">
        <v>806</v>
      </c>
      <c r="K102" s="248"/>
      <c r="O102" s="208"/>
      <c r="P102" s="193">
        <f>VLOOKUP(A102,$A$103:$P$108,16,)</f>
        <v>0</v>
      </c>
      <c r="AI102" s="185"/>
      <c r="AJ102" s="185"/>
      <c r="AK102" s="185"/>
      <c r="AL102" s="185"/>
      <c r="AM102" s="185"/>
      <c r="AN102" s="185"/>
      <c r="AO102" s="209"/>
      <c r="AP102" s="185"/>
      <c r="AQ102" s="185"/>
      <c r="AR102" s="185"/>
      <c r="AS102" s="210"/>
      <c r="AT102" s="176"/>
      <c r="AU102" s="176"/>
      <c r="AV102" s="176"/>
      <c r="AW102" s="176"/>
      <c r="AX102" s="176"/>
      <c r="AY102" s="176"/>
      <c r="AZ102" s="176"/>
      <c r="BA102" s="176"/>
      <c r="BB102" s="176"/>
      <c r="BC102" s="176"/>
      <c r="BD102" s="176"/>
      <c r="BE102" s="176"/>
      <c r="BF102" s="176"/>
      <c r="BG102" s="176"/>
      <c r="BH102" s="176"/>
      <c r="BI102" s="176"/>
      <c r="BJ102" s="176"/>
      <c r="BK102" s="211"/>
      <c r="BL102" s="211"/>
    </row>
    <row r="103" spans="1:64" s="184" customFormat="1" ht="15">
      <c r="A103" s="176">
        <v>1</v>
      </c>
      <c r="B103" s="218" t="s">
        <v>292</v>
      </c>
      <c r="C103" s="176" t="s">
        <v>51</v>
      </c>
      <c r="D103" s="184">
        <v>0</v>
      </c>
      <c r="G103" s="208"/>
      <c r="K103" s="248"/>
      <c r="O103" s="208"/>
      <c r="P103" s="184">
        <v>0</v>
      </c>
      <c r="Q103" s="197"/>
      <c r="U103" s="184">
        <v>0</v>
      </c>
      <c r="AI103" s="185"/>
      <c r="AJ103" s="185"/>
      <c r="AK103" s="185"/>
      <c r="AL103" s="185"/>
      <c r="AM103" s="185"/>
      <c r="AN103" s="185"/>
      <c r="AO103" s="209"/>
      <c r="AP103" s="185"/>
      <c r="AQ103" s="185"/>
      <c r="AR103" s="185"/>
      <c r="AS103" s="210"/>
      <c r="AT103" s="176"/>
      <c r="AU103" s="176"/>
      <c r="AV103" s="176"/>
      <c r="AW103" s="176"/>
      <c r="AX103" s="176"/>
      <c r="AY103" s="176"/>
      <c r="AZ103" s="176"/>
      <c r="BA103" s="176"/>
      <c r="BB103" s="176"/>
      <c r="BC103" s="176"/>
      <c r="BD103" s="176"/>
      <c r="BE103" s="176"/>
      <c r="BF103" s="176"/>
      <c r="BG103" s="176"/>
      <c r="BH103" s="176"/>
      <c r="BI103" s="176"/>
      <c r="BJ103" s="176"/>
      <c r="BK103" s="211"/>
      <c r="BL103" s="211"/>
    </row>
    <row r="104" spans="1:64" s="184" customFormat="1" ht="15">
      <c r="A104" s="176">
        <v>2</v>
      </c>
      <c r="B104" s="218" t="s">
        <v>346</v>
      </c>
      <c r="C104" s="176" t="s">
        <v>337</v>
      </c>
      <c r="D104" s="184" t="str">
        <f>"per il riscaldamento totale dell'abitazione"</f>
        <v>per il riscaldamento totale dell'abitazione</v>
      </c>
      <c r="G104" s="208"/>
      <c r="K104" s="248"/>
      <c r="P104" s="184">
        <v>1</v>
      </c>
      <c r="U104" s="210">
        <f>A!G113</f>
        <v>6857.142857142857</v>
      </c>
      <c r="AI104" s="185"/>
      <c r="AJ104" s="185"/>
      <c r="AK104" s="185"/>
      <c r="AL104" s="185"/>
      <c r="AM104" s="185"/>
      <c r="AN104" s="185"/>
      <c r="AO104" s="209"/>
      <c r="AP104" s="185"/>
      <c r="AQ104" s="185"/>
      <c r="AR104" s="185"/>
      <c r="AS104" s="210"/>
      <c r="AT104" s="176"/>
      <c r="AU104" s="176"/>
      <c r="AV104" s="176"/>
      <c r="AW104" s="176"/>
      <c r="AX104" s="176"/>
      <c r="AY104" s="176"/>
      <c r="AZ104" s="176"/>
      <c r="BA104" s="176"/>
      <c r="BB104" s="176"/>
      <c r="BC104" s="176"/>
      <c r="BD104" s="176"/>
      <c r="BE104" s="176"/>
      <c r="BF104" s="176"/>
      <c r="BG104" s="176"/>
      <c r="BH104" s="176"/>
      <c r="BI104" s="176"/>
      <c r="BJ104" s="176"/>
      <c r="BK104" s="211"/>
      <c r="BL104" s="211"/>
    </row>
    <row r="105" spans="1:64" s="184" customFormat="1" ht="15">
      <c r="A105" s="176">
        <v>3</v>
      </c>
      <c r="B105" s="218" t="s">
        <v>291</v>
      </c>
      <c r="C105" s="176" t="s">
        <v>336</v>
      </c>
      <c r="D105" s="184" t="str">
        <f>"per il riscaldamento dell'acqua calda sanitaria"</f>
        <v>per il riscaldamento dell'acqua calda sanitaria</v>
      </c>
      <c r="G105" s="208"/>
      <c r="K105" s="248"/>
      <c r="P105" s="184">
        <v>0</v>
      </c>
      <c r="U105" s="210">
        <f>A!G114</f>
        <v>2500</v>
      </c>
      <c r="AI105" s="185"/>
      <c r="AJ105" s="185"/>
      <c r="AK105" s="185"/>
      <c r="AL105" s="185"/>
      <c r="AM105" s="185"/>
      <c r="AN105" s="185"/>
      <c r="AO105" s="209"/>
      <c r="AP105" s="185"/>
      <c r="AQ105" s="185"/>
      <c r="AR105" s="185"/>
      <c r="AS105" s="210"/>
      <c r="AT105" s="176"/>
      <c r="AU105" s="176"/>
      <c r="AV105" s="176"/>
      <c r="AW105" s="176"/>
      <c r="AX105" s="176"/>
      <c r="AY105" s="176"/>
      <c r="AZ105" s="176"/>
      <c r="BA105" s="176"/>
      <c r="BB105" s="176"/>
      <c r="BC105" s="176"/>
      <c r="BD105" s="176"/>
      <c r="BE105" s="176"/>
      <c r="BF105" s="176"/>
      <c r="BG105" s="176"/>
      <c r="BH105" s="176"/>
      <c r="BI105" s="176"/>
      <c r="BJ105" s="176"/>
      <c r="BK105" s="211"/>
      <c r="BL105" s="211"/>
    </row>
    <row r="106" spans="1:64" s="184" customFormat="1" ht="15">
      <c r="A106" s="184">
        <v>4</v>
      </c>
      <c r="B106" s="218" t="s">
        <v>345</v>
      </c>
      <c r="C106" s="176" t="s">
        <v>349</v>
      </c>
      <c r="D106" s="184" t="str">
        <f>"per la produzione di acqua calda sanitaria"</f>
        <v>per la produzione di acqua calda sanitaria</v>
      </c>
      <c r="G106" s="208"/>
      <c r="K106" s="248"/>
      <c r="P106" s="184">
        <v>0</v>
      </c>
      <c r="U106" s="210">
        <f>A!G115</f>
        <v>4500</v>
      </c>
      <c r="AI106" s="185"/>
      <c r="AJ106" s="185"/>
      <c r="AK106" s="185"/>
      <c r="AL106" s="185"/>
      <c r="AM106" s="185"/>
      <c r="AN106" s="185"/>
      <c r="AO106" s="209"/>
      <c r="AP106" s="185"/>
      <c r="AQ106" s="185"/>
      <c r="AR106" s="185"/>
      <c r="AS106" s="210"/>
      <c r="AT106" s="176"/>
      <c r="AU106" s="176"/>
      <c r="AV106" s="176"/>
      <c r="AW106" s="176"/>
      <c r="AX106" s="176"/>
      <c r="AY106" s="176"/>
      <c r="AZ106" s="176"/>
      <c r="BA106" s="176"/>
      <c r="BB106" s="176"/>
      <c r="BC106" s="176"/>
      <c r="BD106" s="176"/>
      <c r="BE106" s="176"/>
      <c r="BF106" s="176"/>
      <c r="BG106" s="176"/>
      <c r="BH106" s="176"/>
      <c r="BI106" s="176"/>
      <c r="BJ106" s="176"/>
      <c r="BK106" s="211"/>
      <c r="BL106" s="211"/>
    </row>
    <row r="107" spans="1:64" s="184" customFormat="1" ht="15">
      <c r="A107" s="184">
        <v>5</v>
      </c>
      <c r="B107" s="218" t="s">
        <v>347</v>
      </c>
      <c r="C107" s="176" t="s">
        <v>350</v>
      </c>
      <c r="D107" s="184" t="str">
        <f>"per il riscaldamento totale dell'abitazione e per la produzione dell'acqua calda sanitaria"</f>
        <v>per il riscaldamento totale dell'abitazione e per la produzione dell'acqua calda sanitaria</v>
      </c>
      <c r="G107" s="208"/>
      <c r="K107" s="248"/>
      <c r="O107" s="208"/>
      <c r="P107" s="184">
        <v>1</v>
      </c>
      <c r="U107" s="210">
        <f>A!G116</f>
        <v>9357.142857142857</v>
      </c>
      <c r="AI107" s="185"/>
      <c r="AJ107" s="185"/>
      <c r="AK107" s="185"/>
      <c r="AL107" s="185"/>
      <c r="AM107" s="185"/>
      <c r="AN107" s="185"/>
      <c r="AO107" s="209"/>
      <c r="AP107" s="185"/>
      <c r="AQ107" s="185"/>
      <c r="AR107" s="185"/>
      <c r="AS107" s="210"/>
      <c r="AT107" s="176"/>
      <c r="AU107" s="176"/>
      <c r="AV107" s="176"/>
      <c r="AW107" s="176"/>
      <c r="AX107" s="176"/>
      <c r="AY107" s="176"/>
      <c r="AZ107" s="176"/>
      <c r="BA107" s="176"/>
      <c r="BB107" s="176"/>
      <c r="BC107" s="176"/>
      <c r="BD107" s="176"/>
      <c r="BE107" s="176"/>
      <c r="BF107" s="176"/>
      <c r="BG107" s="176"/>
      <c r="BH107" s="176"/>
      <c r="BI107" s="176"/>
      <c r="BJ107" s="176"/>
      <c r="BK107" s="211"/>
      <c r="BL107" s="211"/>
    </row>
    <row r="108" spans="1:64" s="184" customFormat="1" ht="15">
      <c r="A108" s="184">
        <v>6</v>
      </c>
      <c r="B108" s="184" t="s">
        <v>348</v>
      </c>
      <c r="C108" s="176" t="s">
        <v>351</v>
      </c>
      <c r="D108" s="184" t="str">
        <f>"per riscaldamento totale dell'abitazione + Impianto Solare Termico per la produzione di acqua calda sanitaria"</f>
        <v>per riscaldamento totale dell'abitazione + Impianto Solare Termico per la produzione di acqua calda sanitaria</v>
      </c>
      <c r="G108" s="208"/>
      <c r="K108" s="248"/>
      <c r="O108" s="208"/>
      <c r="P108" s="184">
        <v>1</v>
      </c>
      <c r="U108" s="210">
        <f>A!G117</f>
        <v>11357.142857142857</v>
      </c>
      <c r="AI108" s="185"/>
      <c r="AJ108" s="185"/>
      <c r="AK108" s="185"/>
      <c r="AL108" s="185"/>
      <c r="AM108" s="185"/>
      <c r="AN108" s="185"/>
      <c r="AO108" s="209"/>
      <c r="AP108" s="185"/>
      <c r="AQ108" s="185"/>
      <c r="AR108" s="185"/>
      <c r="AS108" s="210"/>
      <c r="AT108" s="176"/>
      <c r="AU108" s="176"/>
      <c r="AV108" s="176"/>
      <c r="AW108" s="176"/>
      <c r="AX108" s="176"/>
      <c r="AY108" s="176"/>
      <c r="AZ108" s="176"/>
      <c r="BA108" s="176"/>
      <c r="BB108" s="176"/>
      <c r="BC108" s="176"/>
      <c r="BD108" s="176"/>
      <c r="BE108" s="176"/>
      <c r="BF108" s="176"/>
      <c r="BG108" s="176"/>
      <c r="BH108" s="176"/>
      <c r="BI108" s="176"/>
      <c r="BJ108" s="176"/>
      <c r="BK108" s="211"/>
      <c r="BL108" s="211"/>
    </row>
    <row r="109" spans="3:64" s="184" customFormat="1" ht="15">
      <c r="C109" s="176"/>
      <c r="G109" s="208"/>
      <c r="K109" s="248"/>
      <c r="O109" s="208"/>
      <c r="U109" s="210"/>
      <c r="AI109" s="185"/>
      <c r="AJ109" s="185"/>
      <c r="AK109" s="185"/>
      <c r="AL109" s="185"/>
      <c r="AM109" s="185"/>
      <c r="AN109" s="185"/>
      <c r="AO109" s="209"/>
      <c r="AP109" s="185"/>
      <c r="AQ109" s="185"/>
      <c r="AR109" s="185"/>
      <c r="AS109" s="210"/>
      <c r="AT109" s="176"/>
      <c r="AU109" s="176"/>
      <c r="AV109" s="176"/>
      <c r="AW109" s="176"/>
      <c r="AX109" s="176"/>
      <c r="AY109" s="176"/>
      <c r="AZ109" s="176"/>
      <c r="BA109" s="176"/>
      <c r="BB109" s="176"/>
      <c r="BC109" s="176"/>
      <c r="BD109" s="176"/>
      <c r="BE109" s="176"/>
      <c r="BF109" s="176"/>
      <c r="BG109" s="176"/>
      <c r="BH109" s="176"/>
      <c r="BI109" s="176"/>
      <c r="BJ109" s="176"/>
      <c r="BK109" s="211"/>
      <c r="BL109" s="211"/>
    </row>
    <row r="110" spans="3:64" s="184" customFormat="1" ht="15">
      <c r="C110" s="176"/>
      <c r="G110" s="208"/>
      <c r="K110" s="248"/>
      <c r="O110" s="208"/>
      <c r="U110" s="210"/>
      <c r="AI110" s="185"/>
      <c r="AJ110" s="185"/>
      <c r="AK110" s="185"/>
      <c r="AL110" s="185"/>
      <c r="AM110" s="185"/>
      <c r="AN110" s="185"/>
      <c r="AO110" s="209"/>
      <c r="AP110" s="185"/>
      <c r="AQ110" s="185"/>
      <c r="AR110" s="185"/>
      <c r="AS110" s="210"/>
      <c r="AT110" s="176"/>
      <c r="AU110" s="176"/>
      <c r="AV110" s="176"/>
      <c r="AW110" s="176"/>
      <c r="AX110" s="176"/>
      <c r="AY110" s="176"/>
      <c r="AZ110" s="176"/>
      <c r="BA110" s="176"/>
      <c r="BB110" s="176"/>
      <c r="BC110" s="176"/>
      <c r="BD110" s="176"/>
      <c r="BE110" s="176"/>
      <c r="BF110" s="176"/>
      <c r="BG110" s="176"/>
      <c r="BH110" s="176"/>
      <c r="BI110" s="176"/>
      <c r="BJ110" s="176"/>
      <c r="BK110" s="211"/>
      <c r="BL110" s="211"/>
    </row>
    <row r="111" spans="3:64" s="184" customFormat="1" ht="15">
      <c r="C111" s="211"/>
      <c r="D111" s="184" t="str">
        <f>IF(A113=4,D113,H113)</f>
        <v>IMPIANTO SOLARE TERMICO</v>
      </c>
      <c r="G111" s="208"/>
      <c r="K111" s="248"/>
      <c r="O111" s="208"/>
      <c r="U111" s="184">
        <f>IF(A113=1,U114,U112)</f>
        <v>4500</v>
      </c>
      <c r="AI111" s="185"/>
      <c r="AJ111" s="185"/>
      <c r="AK111" s="185"/>
      <c r="AL111" s="185"/>
      <c r="AM111" s="185"/>
      <c r="AN111" s="185"/>
      <c r="AO111" s="209"/>
      <c r="AP111" s="185"/>
      <c r="AQ111" s="185"/>
      <c r="AR111" s="185"/>
      <c r="AS111" s="210"/>
      <c r="AT111" s="176"/>
      <c r="AU111" s="176"/>
      <c r="AV111" s="176"/>
      <c r="AW111" s="176"/>
      <c r="AX111" s="176"/>
      <c r="AY111" s="176"/>
      <c r="AZ111" s="176"/>
      <c r="BA111" s="176"/>
      <c r="BB111" s="176"/>
      <c r="BC111" s="176"/>
      <c r="BD111" s="176"/>
      <c r="BE111" s="176"/>
      <c r="BF111" s="176"/>
      <c r="BG111" s="176"/>
      <c r="BH111" s="176"/>
      <c r="BI111" s="176"/>
      <c r="BJ111" s="176"/>
      <c r="BK111" s="211"/>
      <c r="BL111" s="211"/>
    </row>
    <row r="112" spans="4:64" s="184" customFormat="1" ht="15">
      <c r="D112" s="184" t="str">
        <f>IF(A113=1,0,D111)</f>
        <v>IMPIANTO SOLARE TERMICO</v>
      </c>
      <c r="G112" s="208"/>
      <c r="H112" s="184" t="str">
        <f>VLOOKUP(A113,$A$114:$D$119,4,)</f>
        <v>per la produzione di acqua calda sanitaria</v>
      </c>
      <c r="K112" s="248"/>
      <c r="O112" s="208"/>
      <c r="U112" s="184">
        <f>VLOOKUP(A113,$A$114:$U$119,21,)</f>
        <v>4500</v>
      </c>
      <c r="AI112" s="185"/>
      <c r="AJ112" s="185"/>
      <c r="AK112" s="185"/>
      <c r="AL112" s="185"/>
      <c r="AM112" s="185"/>
      <c r="AN112" s="185"/>
      <c r="AO112" s="209"/>
      <c r="AP112" s="185"/>
      <c r="AQ112" s="185"/>
      <c r="AR112" s="185"/>
      <c r="AS112" s="210"/>
      <c r="AT112" s="176"/>
      <c r="AU112" s="176"/>
      <c r="AV112" s="176"/>
      <c r="AW112" s="176"/>
      <c r="AX112" s="176"/>
      <c r="AY112" s="176"/>
      <c r="AZ112" s="176"/>
      <c r="BA112" s="176"/>
      <c r="BB112" s="176"/>
      <c r="BC112" s="176"/>
      <c r="BD112" s="176"/>
      <c r="BE112" s="176"/>
      <c r="BF112" s="176"/>
      <c r="BG112" s="176"/>
      <c r="BH112" s="176"/>
      <c r="BI112" s="176"/>
      <c r="BJ112" s="176"/>
      <c r="BK112" s="211"/>
      <c r="BL112" s="211"/>
    </row>
    <row r="113" spans="1:64" s="184" customFormat="1" ht="15">
      <c r="A113" s="177">
        <v>4</v>
      </c>
      <c r="B113" s="229" t="s">
        <v>317</v>
      </c>
      <c r="C113" s="177" t="str">
        <f>VLOOKUP(A113,$A$114:$C$119,3,)</f>
        <v>ST</v>
      </c>
      <c r="D113" s="184" t="str">
        <f>D102</f>
        <v>IMPIANTO SOLARE TERMICO</v>
      </c>
      <c r="G113" s="208"/>
      <c r="H113" s="184" t="str">
        <f>H102</f>
        <v>POMPA DI CALORE</v>
      </c>
      <c r="K113" s="248"/>
      <c r="O113" s="208"/>
      <c r="P113" s="193">
        <f>VLOOKUP(A113,$A$114:$P$119,16,)</f>
        <v>0</v>
      </c>
      <c r="AI113" s="185"/>
      <c r="AJ113" s="185"/>
      <c r="AK113" s="185"/>
      <c r="AL113" s="185"/>
      <c r="AM113" s="185"/>
      <c r="AN113" s="185"/>
      <c r="AO113" s="209"/>
      <c r="AP113" s="185"/>
      <c r="AQ113" s="185"/>
      <c r="AR113" s="185"/>
      <c r="AS113" s="210"/>
      <c r="AT113" s="176"/>
      <c r="AU113" s="176"/>
      <c r="AV113" s="176"/>
      <c r="AW113" s="176"/>
      <c r="AX113" s="176"/>
      <c r="AY113" s="176"/>
      <c r="AZ113" s="176"/>
      <c r="BA113" s="176"/>
      <c r="BB113" s="176"/>
      <c r="BC113" s="176"/>
      <c r="BD113" s="176"/>
      <c r="BE113" s="176"/>
      <c r="BF113" s="176"/>
      <c r="BG113" s="176"/>
      <c r="BH113" s="176"/>
      <c r="BI113" s="176"/>
      <c r="BJ113" s="176"/>
      <c r="BK113" s="211"/>
      <c r="BL113" s="211"/>
    </row>
    <row r="114" spans="1:64" s="184" customFormat="1" ht="15">
      <c r="A114" s="176">
        <v>1</v>
      </c>
      <c r="B114" s="218" t="s">
        <v>292</v>
      </c>
      <c r="C114" s="176" t="s">
        <v>51</v>
      </c>
      <c r="D114" s="184">
        <v>0</v>
      </c>
      <c r="G114" s="208"/>
      <c r="K114" s="248"/>
      <c r="O114" s="208"/>
      <c r="P114" s="184">
        <v>0</v>
      </c>
      <c r="U114" s="184">
        <v>0</v>
      </c>
      <c r="AI114" s="185"/>
      <c r="AJ114" s="185"/>
      <c r="AK114" s="185"/>
      <c r="AL114" s="185"/>
      <c r="AM114" s="185"/>
      <c r="AN114" s="185"/>
      <c r="AO114" s="209"/>
      <c r="AP114" s="185"/>
      <c r="AQ114" s="185"/>
      <c r="AR114" s="185"/>
      <c r="AS114" s="210"/>
      <c r="AT114" s="176"/>
      <c r="AU114" s="176"/>
      <c r="AV114" s="176"/>
      <c r="AW114" s="176"/>
      <c r="AX114" s="176"/>
      <c r="AY114" s="176"/>
      <c r="AZ114" s="176"/>
      <c r="BA114" s="176"/>
      <c r="BB114" s="176"/>
      <c r="BC114" s="176"/>
      <c r="BD114" s="176"/>
      <c r="BE114" s="176"/>
      <c r="BF114" s="176"/>
      <c r="BG114" s="176"/>
      <c r="BH114" s="176"/>
      <c r="BI114" s="176"/>
      <c r="BJ114" s="176"/>
      <c r="BK114" s="211"/>
      <c r="BL114" s="211"/>
    </row>
    <row r="115" spans="1:64" s="184" customFormat="1" ht="15">
      <c r="A115" s="176">
        <v>2</v>
      </c>
      <c r="B115" s="218" t="s">
        <v>346</v>
      </c>
      <c r="C115" s="176" t="s">
        <v>337</v>
      </c>
      <c r="D115" s="184" t="str">
        <f>D104</f>
        <v>per il riscaldamento totale dell'abitazione</v>
      </c>
      <c r="G115" s="208"/>
      <c r="K115" s="248"/>
      <c r="O115" s="184">
        <f>CEILING(A!J113,1)</f>
        <v>6858</v>
      </c>
      <c r="P115" s="184">
        <v>1</v>
      </c>
      <c r="U115" s="210">
        <f>A!J113</f>
        <v>6857.142857142857</v>
      </c>
      <c r="AI115" s="185"/>
      <c r="AJ115" s="185"/>
      <c r="AK115" s="185"/>
      <c r="AL115" s="185"/>
      <c r="AM115" s="185"/>
      <c r="AN115" s="185"/>
      <c r="AO115" s="209"/>
      <c r="AP115" s="185"/>
      <c r="AQ115" s="185"/>
      <c r="AR115" s="185"/>
      <c r="AS115" s="210"/>
      <c r="AT115" s="176"/>
      <c r="AU115" s="176"/>
      <c r="AV115" s="176"/>
      <c r="AW115" s="176"/>
      <c r="AX115" s="176"/>
      <c r="AY115" s="176"/>
      <c r="AZ115" s="176"/>
      <c r="BA115" s="176"/>
      <c r="BB115" s="176"/>
      <c r="BC115" s="176"/>
      <c r="BD115" s="176"/>
      <c r="BE115" s="176"/>
      <c r="BF115" s="176"/>
      <c r="BG115" s="176"/>
      <c r="BH115" s="176"/>
      <c r="BI115" s="176"/>
      <c r="BJ115" s="176"/>
      <c r="BK115" s="211"/>
      <c r="BL115" s="211"/>
    </row>
    <row r="116" spans="1:64" s="184" customFormat="1" ht="15">
      <c r="A116" s="176">
        <v>3</v>
      </c>
      <c r="B116" s="218" t="s">
        <v>291</v>
      </c>
      <c r="C116" s="176" t="s">
        <v>336</v>
      </c>
      <c r="D116" s="184" t="str">
        <f>D105</f>
        <v>per il riscaldamento dell'acqua calda sanitaria</v>
      </c>
      <c r="G116" s="208"/>
      <c r="K116" s="248"/>
      <c r="O116" s="184">
        <f>CEILING(A!J114,1)</f>
        <v>2500</v>
      </c>
      <c r="P116" s="184">
        <v>0</v>
      </c>
      <c r="U116" s="210">
        <f>A!J114</f>
        <v>2500</v>
      </c>
      <c r="AI116" s="185"/>
      <c r="AJ116" s="185"/>
      <c r="AK116" s="185"/>
      <c r="AL116" s="185"/>
      <c r="AM116" s="185"/>
      <c r="AN116" s="185"/>
      <c r="AO116" s="209"/>
      <c r="AP116" s="185"/>
      <c r="AQ116" s="185"/>
      <c r="AR116" s="185"/>
      <c r="AS116" s="210"/>
      <c r="AT116" s="176"/>
      <c r="AU116" s="176"/>
      <c r="AV116" s="176"/>
      <c r="AW116" s="176"/>
      <c r="AX116" s="176"/>
      <c r="AY116" s="176"/>
      <c r="AZ116" s="176"/>
      <c r="BA116" s="176"/>
      <c r="BB116" s="176"/>
      <c r="BC116" s="176"/>
      <c r="BD116" s="176"/>
      <c r="BE116" s="176"/>
      <c r="BF116" s="176"/>
      <c r="BG116" s="176"/>
      <c r="BH116" s="176"/>
      <c r="BI116" s="176"/>
      <c r="BJ116" s="176"/>
      <c r="BK116" s="211"/>
      <c r="BL116" s="211"/>
    </row>
    <row r="117" spans="1:64" s="184" customFormat="1" ht="15">
      <c r="A117" s="184">
        <v>4</v>
      </c>
      <c r="B117" s="218" t="s">
        <v>345</v>
      </c>
      <c r="C117" s="176" t="s">
        <v>349</v>
      </c>
      <c r="D117" s="184" t="str">
        <f>D106</f>
        <v>per la produzione di acqua calda sanitaria</v>
      </c>
      <c r="G117" s="208"/>
      <c r="K117" s="248"/>
      <c r="O117" s="184">
        <f>CEILING(A!J115,1)</f>
        <v>4500</v>
      </c>
      <c r="P117" s="184">
        <v>0</v>
      </c>
      <c r="U117" s="210">
        <f>A!J115</f>
        <v>4500</v>
      </c>
      <c r="AI117" s="185"/>
      <c r="AJ117" s="185"/>
      <c r="AK117" s="185"/>
      <c r="AL117" s="185"/>
      <c r="AM117" s="185"/>
      <c r="AN117" s="185"/>
      <c r="AO117" s="209"/>
      <c r="AP117" s="185"/>
      <c r="AQ117" s="185"/>
      <c r="AR117" s="185"/>
      <c r="AS117" s="210"/>
      <c r="AT117" s="176"/>
      <c r="AU117" s="176"/>
      <c r="AV117" s="176"/>
      <c r="AW117" s="176"/>
      <c r="AX117" s="176"/>
      <c r="AY117" s="176"/>
      <c r="AZ117" s="176"/>
      <c r="BA117" s="176"/>
      <c r="BB117" s="176"/>
      <c r="BC117" s="176"/>
      <c r="BD117" s="176"/>
      <c r="BE117" s="176"/>
      <c r="BF117" s="176"/>
      <c r="BG117" s="176"/>
      <c r="BH117" s="176"/>
      <c r="BI117" s="176"/>
      <c r="BJ117" s="176"/>
      <c r="BK117" s="211"/>
      <c r="BL117" s="211"/>
    </row>
    <row r="118" spans="1:64" s="184" customFormat="1" ht="15">
      <c r="A118" s="184">
        <v>5</v>
      </c>
      <c r="B118" s="218" t="s">
        <v>347</v>
      </c>
      <c r="C118" s="176" t="s">
        <v>350</v>
      </c>
      <c r="D118" s="184" t="str">
        <f>D107</f>
        <v>per il riscaldamento totale dell'abitazione e per la produzione dell'acqua calda sanitaria</v>
      </c>
      <c r="G118" s="208"/>
      <c r="K118" s="248"/>
      <c r="O118" s="208"/>
      <c r="P118" s="184">
        <v>1</v>
      </c>
      <c r="R118" s="184">
        <f>CEILING(A!J116,1)</f>
        <v>9358</v>
      </c>
      <c r="U118" s="210">
        <f>A!J116</f>
        <v>9357.142857142857</v>
      </c>
      <c r="AI118" s="185"/>
      <c r="AJ118" s="185"/>
      <c r="AK118" s="185"/>
      <c r="AL118" s="185"/>
      <c r="AM118" s="185"/>
      <c r="AN118" s="185"/>
      <c r="AO118" s="209"/>
      <c r="AP118" s="185"/>
      <c r="AQ118" s="185"/>
      <c r="AR118" s="185"/>
      <c r="AS118" s="210"/>
      <c r="AT118" s="176"/>
      <c r="AU118" s="176"/>
      <c r="AV118" s="176"/>
      <c r="AW118" s="176"/>
      <c r="AX118" s="176"/>
      <c r="AY118" s="176"/>
      <c r="AZ118" s="176"/>
      <c r="BA118" s="176"/>
      <c r="BB118" s="176"/>
      <c r="BC118" s="176"/>
      <c r="BD118" s="176"/>
      <c r="BE118" s="176"/>
      <c r="BF118" s="176"/>
      <c r="BG118" s="176"/>
      <c r="BH118" s="176"/>
      <c r="BI118" s="176"/>
      <c r="BJ118" s="176"/>
      <c r="BK118" s="211"/>
      <c r="BL118" s="211"/>
    </row>
    <row r="119" spans="1:64" s="184" customFormat="1" ht="15">
      <c r="A119" s="184">
        <v>6</v>
      </c>
      <c r="B119" s="184" t="s">
        <v>348</v>
      </c>
      <c r="C119" s="176" t="s">
        <v>351</v>
      </c>
      <c r="D119" s="184" t="str">
        <f>D108</f>
        <v>per riscaldamento totale dell'abitazione + Impianto Solare Termico per la produzione di acqua calda sanitaria</v>
      </c>
      <c r="G119" s="208"/>
      <c r="K119" s="248"/>
      <c r="O119" s="208"/>
      <c r="P119" s="184">
        <v>1</v>
      </c>
      <c r="R119" s="184">
        <f>CEILING(A!J117,1)</f>
        <v>11358</v>
      </c>
      <c r="U119" s="210">
        <f>A!J117</f>
        <v>11357.142857142857</v>
      </c>
      <c r="AI119" s="185"/>
      <c r="AJ119" s="185"/>
      <c r="AK119" s="185"/>
      <c r="AL119" s="185"/>
      <c r="AM119" s="185"/>
      <c r="AN119" s="185"/>
      <c r="AO119" s="209"/>
      <c r="AP119" s="185"/>
      <c r="AQ119" s="185"/>
      <c r="AR119" s="185"/>
      <c r="AS119" s="210"/>
      <c r="AT119" s="176"/>
      <c r="AU119" s="176"/>
      <c r="AV119" s="176"/>
      <c r="AW119" s="176"/>
      <c r="AX119" s="176"/>
      <c r="AY119" s="176"/>
      <c r="AZ119" s="176"/>
      <c r="BA119" s="176"/>
      <c r="BB119" s="176"/>
      <c r="BC119" s="176"/>
      <c r="BD119" s="176"/>
      <c r="BE119" s="176"/>
      <c r="BF119" s="176"/>
      <c r="BG119" s="176"/>
      <c r="BH119" s="176"/>
      <c r="BI119" s="176"/>
      <c r="BJ119" s="176"/>
      <c r="BK119" s="211"/>
      <c r="BL119" s="211"/>
    </row>
    <row r="120" spans="3:64" s="184" customFormat="1" ht="15">
      <c r="C120" s="211"/>
      <c r="G120" s="208"/>
      <c r="K120" s="248"/>
      <c r="O120" s="208"/>
      <c r="AI120" s="185"/>
      <c r="AJ120" s="185"/>
      <c r="AK120" s="185"/>
      <c r="AL120" s="185"/>
      <c r="AM120" s="185"/>
      <c r="AN120" s="185"/>
      <c r="AO120" s="209"/>
      <c r="AP120" s="185"/>
      <c r="AQ120" s="185"/>
      <c r="AR120" s="185"/>
      <c r="AS120" s="210"/>
      <c r="AT120" s="176"/>
      <c r="AU120" s="176"/>
      <c r="AV120" s="176"/>
      <c r="AW120" s="176"/>
      <c r="AX120" s="176"/>
      <c r="AY120" s="176"/>
      <c r="AZ120" s="176"/>
      <c r="BA120" s="176"/>
      <c r="BB120" s="176"/>
      <c r="BC120" s="176"/>
      <c r="BD120" s="176"/>
      <c r="BE120" s="176"/>
      <c r="BF120" s="176"/>
      <c r="BG120" s="176"/>
      <c r="BH120" s="176"/>
      <c r="BI120" s="176"/>
      <c r="BJ120" s="176"/>
      <c r="BK120" s="211"/>
      <c r="BL120" s="211"/>
    </row>
    <row r="121" spans="3:64" s="184" customFormat="1" ht="15">
      <c r="C121" s="211"/>
      <c r="G121" s="208"/>
      <c r="K121" s="248"/>
      <c r="O121" s="208"/>
      <c r="AI121" s="185"/>
      <c r="AJ121" s="185"/>
      <c r="AK121" s="185"/>
      <c r="AL121" s="185"/>
      <c r="AM121" s="185"/>
      <c r="AN121" s="185"/>
      <c r="AO121" s="209"/>
      <c r="AP121" s="185"/>
      <c r="AQ121" s="185"/>
      <c r="AR121" s="185"/>
      <c r="AS121" s="210"/>
      <c r="AT121" s="176"/>
      <c r="AU121" s="176"/>
      <c r="AV121" s="176"/>
      <c r="AW121" s="176"/>
      <c r="AX121" s="176"/>
      <c r="AY121" s="176"/>
      <c r="AZ121" s="176"/>
      <c r="BA121" s="176"/>
      <c r="BB121" s="176"/>
      <c r="BC121" s="176"/>
      <c r="BD121" s="176"/>
      <c r="BE121" s="176"/>
      <c r="BF121" s="176"/>
      <c r="BG121" s="176"/>
      <c r="BH121" s="176"/>
      <c r="BI121" s="176"/>
      <c r="BJ121" s="176"/>
      <c r="BK121" s="211"/>
      <c r="BL121" s="211"/>
    </row>
    <row r="122" spans="3:64" s="184" customFormat="1" ht="15">
      <c r="C122" s="211"/>
      <c r="G122" s="208"/>
      <c r="K122" s="248"/>
      <c r="O122" s="208"/>
      <c r="AI122" s="185"/>
      <c r="AJ122" s="185"/>
      <c r="AK122" s="185"/>
      <c r="AL122" s="185"/>
      <c r="AM122" s="185"/>
      <c r="AN122" s="185"/>
      <c r="AO122" s="209"/>
      <c r="AP122" s="185"/>
      <c r="AQ122" s="185"/>
      <c r="AR122" s="185"/>
      <c r="AS122" s="210"/>
      <c r="AT122" s="176"/>
      <c r="AU122" s="176"/>
      <c r="AV122" s="176"/>
      <c r="AW122" s="176"/>
      <c r="AX122" s="176"/>
      <c r="AY122" s="176"/>
      <c r="AZ122" s="176"/>
      <c r="BA122" s="176"/>
      <c r="BB122" s="176"/>
      <c r="BC122" s="176"/>
      <c r="BD122" s="176"/>
      <c r="BE122" s="176"/>
      <c r="BF122" s="176"/>
      <c r="BG122" s="176"/>
      <c r="BH122" s="176"/>
      <c r="BI122" s="176"/>
      <c r="BJ122" s="176"/>
      <c r="BK122" s="211"/>
      <c r="BL122" s="211"/>
    </row>
    <row r="123" spans="3:64" s="184" customFormat="1" ht="15">
      <c r="C123" s="211"/>
      <c r="G123" s="208"/>
      <c r="K123" s="248"/>
      <c r="O123" s="208"/>
      <c r="AI123" s="185"/>
      <c r="AJ123" s="185"/>
      <c r="AK123" s="185"/>
      <c r="AL123" s="185"/>
      <c r="AM123" s="185"/>
      <c r="AN123" s="185"/>
      <c r="AO123" s="209"/>
      <c r="AP123" s="185"/>
      <c r="AQ123" s="185"/>
      <c r="AR123" s="185"/>
      <c r="AS123" s="210"/>
      <c r="AT123" s="176"/>
      <c r="AU123" s="176"/>
      <c r="AV123" s="176"/>
      <c r="AW123" s="176"/>
      <c r="AX123" s="176"/>
      <c r="AY123" s="176"/>
      <c r="AZ123" s="176"/>
      <c r="BA123" s="176"/>
      <c r="BB123" s="176"/>
      <c r="BC123" s="176"/>
      <c r="BD123" s="176"/>
      <c r="BE123" s="176"/>
      <c r="BF123" s="176"/>
      <c r="BG123" s="176"/>
      <c r="BH123" s="176"/>
      <c r="BI123" s="176"/>
      <c r="BJ123" s="176"/>
      <c r="BK123" s="211"/>
      <c r="BL123" s="211"/>
    </row>
    <row r="124" spans="3:64" s="184" customFormat="1" ht="15">
      <c r="C124" s="211"/>
      <c r="G124" s="208"/>
      <c r="K124" s="248"/>
      <c r="O124" s="208"/>
      <c r="AI124" s="185"/>
      <c r="AJ124" s="185"/>
      <c r="AK124" s="185"/>
      <c r="AL124" s="185"/>
      <c r="AM124" s="185"/>
      <c r="AN124" s="185"/>
      <c r="AO124" s="209"/>
      <c r="AP124" s="185"/>
      <c r="AQ124" s="185"/>
      <c r="AR124" s="185"/>
      <c r="AS124" s="210"/>
      <c r="AT124" s="176"/>
      <c r="AU124" s="176"/>
      <c r="AV124" s="176"/>
      <c r="AW124" s="176"/>
      <c r="AX124" s="176"/>
      <c r="AY124" s="176"/>
      <c r="AZ124" s="176"/>
      <c r="BA124" s="176"/>
      <c r="BB124" s="176"/>
      <c r="BC124" s="176"/>
      <c r="BD124" s="176"/>
      <c r="BE124" s="176"/>
      <c r="BF124" s="176"/>
      <c r="BG124" s="176"/>
      <c r="BH124" s="176"/>
      <c r="BI124" s="176"/>
      <c r="BJ124" s="176"/>
      <c r="BK124" s="211"/>
      <c r="BL124" s="211"/>
    </row>
    <row r="125" spans="3:64" s="184" customFormat="1" ht="15">
      <c r="C125" s="211"/>
      <c r="G125" s="208"/>
      <c r="K125" s="248"/>
      <c r="O125" s="208"/>
      <c r="AI125" s="185"/>
      <c r="AJ125" s="185"/>
      <c r="AK125" s="185"/>
      <c r="AL125" s="185"/>
      <c r="AM125" s="185"/>
      <c r="AN125" s="185"/>
      <c r="AO125" s="209"/>
      <c r="AP125" s="185"/>
      <c r="AQ125" s="185"/>
      <c r="AR125" s="185"/>
      <c r="AS125" s="210"/>
      <c r="AT125" s="176"/>
      <c r="AU125" s="176"/>
      <c r="AV125" s="176"/>
      <c r="AW125" s="176"/>
      <c r="AX125" s="176"/>
      <c r="AY125" s="176"/>
      <c r="AZ125" s="176"/>
      <c r="BA125" s="176"/>
      <c r="BB125" s="176"/>
      <c r="BC125" s="176"/>
      <c r="BD125" s="176"/>
      <c r="BE125" s="176"/>
      <c r="BF125" s="176"/>
      <c r="BG125" s="176"/>
      <c r="BH125" s="176"/>
      <c r="BI125" s="176"/>
      <c r="BJ125" s="176"/>
      <c r="BK125" s="211"/>
      <c r="BL125" s="211"/>
    </row>
    <row r="126" spans="3:64" s="184" customFormat="1" ht="15">
      <c r="C126" s="211"/>
      <c r="G126" s="208"/>
      <c r="K126" s="248"/>
      <c r="O126" s="208"/>
      <c r="AI126" s="185"/>
      <c r="AJ126" s="185"/>
      <c r="AK126" s="185"/>
      <c r="AL126" s="185"/>
      <c r="AM126" s="185"/>
      <c r="AN126" s="185"/>
      <c r="AO126" s="209"/>
      <c r="AP126" s="185"/>
      <c r="AQ126" s="185"/>
      <c r="AR126" s="185"/>
      <c r="AS126" s="210"/>
      <c r="AT126" s="176"/>
      <c r="AU126" s="176"/>
      <c r="AV126" s="176"/>
      <c r="AW126" s="176"/>
      <c r="AX126" s="176"/>
      <c r="AY126" s="176"/>
      <c r="AZ126" s="176"/>
      <c r="BA126" s="176"/>
      <c r="BB126" s="176"/>
      <c r="BC126" s="176"/>
      <c r="BD126" s="176"/>
      <c r="BE126" s="176"/>
      <c r="BF126" s="176"/>
      <c r="BG126" s="176"/>
      <c r="BH126" s="176"/>
      <c r="BI126" s="176"/>
      <c r="BJ126" s="176"/>
      <c r="BK126" s="211"/>
      <c r="BL126" s="211"/>
    </row>
    <row r="127" spans="3:64" s="184" customFormat="1" ht="15">
      <c r="C127" s="211"/>
      <c r="G127" s="208"/>
      <c r="K127" s="248"/>
      <c r="O127" s="208"/>
      <c r="AI127" s="185"/>
      <c r="AJ127" s="185"/>
      <c r="AK127" s="185"/>
      <c r="AL127" s="185"/>
      <c r="AM127" s="185"/>
      <c r="AN127" s="185"/>
      <c r="AO127" s="209"/>
      <c r="AP127" s="185"/>
      <c r="AQ127" s="185"/>
      <c r="AR127" s="185"/>
      <c r="AS127" s="210"/>
      <c r="AT127" s="176"/>
      <c r="AU127" s="176"/>
      <c r="AV127" s="176"/>
      <c r="AW127" s="176"/>
      <c r="AX127" s="176"/>
      <c r="AY127" s="176"/>
      <c r="AZ127" s="176"/>
      <c r="BA127" s="176"/>
      <c r="BB127" s="176"/>
      <c r="BC127" s="176"/>
      <c r="BD127" s="176"/>
      <c r="BE127" s="176"/>
      <c r="BF127" s="176"/>
      <c r="BG127" s="176"/>
      <c r="BH127" s="176"/>
      <c r="BI127" s="176"/>
      <c r="BJ127" s="176"/>
      <c r="BK127" s="211"/>
      <c r="BL127" s="211"/>
    </row>
    <row r="128" spans="3:64" s="184" customFormat="1" ht="15">
      <c r="C128" s="211"/>
      <c r="G128" s="208"/>
      <c r="K128" s="248"/>
      <c r="O128" s="208"/>
      <c r="AI128" s="185"/>
      <c r="AJ128" s="185"/>
      <c r="AK128" s="185"/>
      <c r="AL128" s="185"/>
      <c r="AM128" s="185"/>
      <c r="AN128" s="185"/>
      <c r="AO128" s="209"/>
      <c r="AP128" s="185"/>
      <c r="AQ128" s="185"/>
      <c r="AR128" s="185"/>
      <c r="AS128" s="210"/>
      <c r="AT128" s="176"/>
      <c r="AU128" s="176"/>
      <c r="AV128" s="176"/>
      <c r="AW128" s="176"/>
      <c r="AX128" s="176"/>
      <c r="AY128" s="176"/>
      <c r="AZ128" s="176"/>
      <c r="BA128" s="176"/>
      <c r="BB128" s="176"/>
      <c r="BC128" s="176"/>
      <c r="BD128" s="176"/>
      <c r="BE128" s="176"/>
      <c r="BF128" s="176"/>
      <c r="BG128" s="176"/>
      <c r="BH128" s="176"/>
      <c r="BI128" s="176"/>
      <c r="BJ128" s="176"/>
      <c r="BK128" s="211"/>
      <c r="BL128" s="211"/>
    </row>
    <row r="129" spans="3:64" s="184" customFormat="1" ht="15">
      <c r="C129" s="211"/>
      <c r="G129" s="208"/>
      <c r="K129" s="248"/>
      <c r="O129" s="208"/>
      <c r="AI129" s="185"/>
      <c r="AJ129" s="185"/>
      <c r="AK129" s="185"/>
      <c r="AL129" s="185"/>
      <c r="AM129" s="185"/>
      <c r="AN129" s="185"/>
      <c r="AO129" s="209"/>
      <c r="AP129" s="185"/>
      <c r="AQ129" s="185"/>
      <c r="AR129" s="185"/>
      <c r="AS129" s="210"/>
      <c r="AT129" s="176"/>
      <c r="AU129" s="176"/>
      <c r="AV129" s="176"/>
      <c r="AW129" s="176"/>
      <c r="AX129" s="176"/>
      <c r="AY129" s="176"/>
      <c r="AZ129" s="176"/>
      <c r="BA129" s="176"/>
      <c r="BB129" s="176"/>
      <c r="BC129" s="176"/>
      <c r="BD129" s="176"/>
      <c r="BE129" s="176"/>
      <c r="BF129" s="176"/>
      <c r="BG129" s="176"/>
      <c r="BH129" s="176"/>
      <c r="BI129" s="176"/>
      <c r="BJ129" s="176"/>
      <c r="BK129" s="211"/>
      <c r="BL129" s="211"/>
    </row>
    <row r="130" spans="3:64" s="184" customFormat="1" ht="15">
      <c r="C130" s="211"/>
      <c r="G130" s="208"/>
      <c r="K130" s="248"/>
      <c r="O130" s="208"/>
      <c r="AI130" s="185"/>
      <c r="AJ130" s="185"/>
      <c r="AK130" s="185"/>
      <c r="AL130" s="185"/>
      <c r="AM130" s="185"/>
      <c r="AN130" s="185"/>
      <c r="AO130" s="209"/>
      <c r="AP130" s="185"/>
      <c r="AQ130" s="185"/>
      <c r="AR130" s="185"/>
      <c r="AS130" s="210"/>
      <c r="AT130" s="176"/>
      <c r="AU130" s="176"/>
      <c r="AV130" s="176"/>
      <c r="AW130" s="176"/>
      <c r="AX130" s="176"/>
      <c r="AY130" s="176"/>
      <c r="AZ130" s="176"/>
      <c r="BA130" s="176"/>
      <c r="BB130" s="176"/>
      <c r="BC130" s="176"/>
      <c r="BD130" s="176"/>
      <c r="BE130" s="176"/>
      <c r="BF130" s="176"/>
      <c r="BG130" s="176"/>
      <c r="BH130" s="176"/>
      <c r="BI130" s="176"/>
      <c r="BJ130" s="176"/>
      <c r="BK130" s="211"/>
      <c r="BL130" s="211"/>
    </row>
    <row r="131" spans="3:64" s="184" customFormat="1" ht="15">
      <c r="C131" s="211"/>
      <c r="G131" s="208"/>
      <c r="K131" s="248"/>
      <c r="O131" s="208"/>
      <c r="AI131" s="185"/>
      <c r="AJ131" s="185"/>
      <c r="AK131" s="185"/>
      <c r="AL131" s="185"/>
      <c r="AM131" s="185"/>
      <c r="AN131" s="185"/>
      <c r="AO131" s="209"/>
      <c r="AP131" s="185"/>
      <c r="AQ131" s="185"/>
      <c r="AR131" s="185"/>
      <c r="AS131" s="210"/>
      <c r="AT131" s="176"/>
      <c r="AU131" s="176"/>
      <c r="AV131" s="176"/>
      <c r="AW131" s="176"/>
      <c r="AX131" s="176"/>
      <c r="AY131" s="176"/>
      <c r="AZ131" s="176"/>
      <c r="BA131" s="176"/>
      <c r="BB131" s="176"/>
      <c r="BC131" s="176"/>
      <c r="BD131" s="176"/>
      <c r="BE131" s="176"/>
      <c r="BF131" s="176"/>
      <c r="BG131" s="176"/>
      <c r="BH131" s="176"/>
      <c r="BI131" s="176"/>
      <c r="BJ131" s="176"/>
      <c r="BK131" s="211"/>
      <c r="BL131" s="211"/>
    </row>
    <row r="132" spans="3:64" s="184" customFormat="1" ht="15">
      <c r="C132" s="211"/>
      <c r="G132" s="208"/>
      <c r="K132" s="248"/>
      <c r="O132" s="208"/>
      <c r="AI132" s="185"/>
      <c r="AJ132" s="185"/>
      <c r="AK132" s="185"/>
      <c r="AL132" s="185"/>
      <c r="AM132" s="185"/>
      <c r="AN132" s="185"/>
      <c r="AO132" s="209"/>
      <c r="AP132" s="185"/>
      <c r="AQ132" s="185"/>
      <c r="AR132" s="185"/>
      <c r="AS132" s="210"/>
      <c r="AT132" s="176"/>
      <c r="AU132" s="176"/>
      <c r="AV132" s="176"/>
      <c r="AW132" s="176"/>
      <c r="AX132" s="176"/>
      <c r="AY132" s="176"/>
      <c r="AZ132" s="176"/>
      <c r="BA132" s="176"/>
      <c r="BB132" s="176"/>
      <c r="BC132" s="176"/>
      <c r="BD132" s="176"/>
      <c r="BE132" s="176"/>
      <c r="BF132" s="176"/>
      <c r="BG132" s="176"/>
      <c r="BH132" s="176"/>
      <c r="BI132" s="176"/>
      <c r="BJ132" s="176"/>
      <c r="BK132" s="211"/>
      <c r="BL132" s="211"/>
    </row>
    <row r="133" spans="3:64" s="184" customFormat="1" ht="15">
      <c r="C133" s="211"/>
      <c r="G133" s="208"/>
      <c r="K133" s="248"/>
      <c r="O133" s="208"/>
      <c r="AI133" s="185"/>
      <c r="AJ133" s="185"/>
      <c r="AK133" s="185"/>
      <c r="AL133" s="185"/>
      <c r="AM133" s="185"/>
      <c r="AN133" s="185"/>
      <c r="AO133" s="209"/>
      <c r="AP133" s="185"/>
      <c r="AQ133" s="185"/>
      <c r="AR133" s="185"/>
      <c r="AS133" s="210"/>
      <c r="AT133" s="176"/>
      <c r="AU133" s="176"/>
      <c r="AV133" s="176"/>
      <c r="AW133" s="176"/>
      <c r="AX133" s="176"/>
      <c r="AY133" s="176"/>
      <c r="AZ133" s="176"/>
      <c r="BA133" s="176"/>
      <c r="BB133" s="176"/>
      <c r="BC133" s="176"/>
      <c r="BD133" s="176"/>
      <c r="BE133" s="176"/>
      <c r="BF133" s="176"/>
      <c r="BG133" s="176"/>
      <c r="BH133" s="176"/>
      <c r="BI133" s="176"/>
      <c r="BJ133" s="176"/>
      <c r="BK133" s="211"/>
      <c r="BL133" s="211"/>
    </row>
    <row r="134" spans="3:64" s="184" customFormat="1" ht="15">
      <c r="C134" s="211"/>
      <c r="G134" s="208"/>
      <c r="K134" s="248"/>
      <c r="O134" s="208"/>
      <c r="AI134" s="185"/>
      <c r="AJ134" s="185"/>
      <c r="AK134" s="185"/>
      <c r="AL134" s="185"/>
      <c r="AM134" s="185"/>
      <c r="AN134" s="185"/>
      <c r="AO134" s="209"/>
      <c r="AP134" s="185"/>
      <c r="AQ134" s="185"/>
      <c r="AR134" s="185"/>
      <c r="AS134" s="210"/>
      <c r="AT134" s="176"/>
      <c r="AU134" s="176"/>
      <c r="AV134" s="176"/>
      <c r="AW134" s="176"/>
      <c r="AX134" s="176"/>
      <c r="AY134" s="176"/>
      <c r="AZ134" s="176"/>
      <c r="BA134" s="176"/>
      <c r="BB134" s="176"/>
      <c r="BC134" s="176"/>
      <c r="BD134" s="176"/>
      <c r="BE134" s="176"/>
      <c r="BF134" s="176"/>
      <c r="BG134" s="176"/>
      <c r="BH134" s="176"/>
      <c r="BI134" s="176"/>
      <c r="BJ134" s="176"/>
      <c r="BK134" s="211"/>
      <c r="BL134" s="211"/>
    </row>
    <row r="135" spans="3:64" s="184" customFormat="1" ht="15">
      <c r="C135" s="211"/>
      <c r="G135" s="208"/>
      <c r="K135" s="248"/>
      <c r="O135" s="208"/>
      <c r="AI135" s="185"/>
      <c r="AJ135" s="185"/>
      <c r="AK135" s="185"/>
      <c r="AL135" s="185"/>
      <c r="AM135" s="185"/>
      <c r="AN135" s="185"/>
      <c r="AO135" s="209"/>
      <c r="AP135" s="185"/>
      <c r="AQ135" s="185"/>
      <c r="AR135" s="185"/>
      <c r="AS135" s="210"/>
      <c r="AT135" s="176"/>
      <c r="AU135" s="176"/>
      <c r="AV135" s="176"/>
      <c r="AW135" s="176"/>
      <c r="AX135" s="176"/>
      <c r="AY135" s="176"/>
      <c r="AZ135" s="176"/>
      <c r="BA135" s="176"/>
      <c r="BB135" s="176"/>
      <c r="BC135" s="176"/>
      <c r="BD135" s="176"/>
      <c r="BE135" s="176"/>
      <c r="BF135" s="176"/>
      <c r="BG135" s="176"/>
      <c r="BH135" s="176"/>
      <c r="BI135" s="176"/>
      <c r="BJ135" s="176"/>
      <c r="BK135" s="211"/>
      <c r="BL135" s="211"/>
    </row>
    <row r="136" spans="3:64" s="184" customFormat="1" ht="15">
      <c r="C136" s="211"/>
      <c r="G136" s="208"/>
      <c r="K136" s="248"/>
      <c r="O136" s="208"/>
      <c r="AI136" s="185"/>
      <c r="AJ136" s="185"/>
      <c r="AK136" s="185"/>
      <c r="AL136" s="185"/>
      <c r="AM136" s="185"/>
      <c r="AN136" s="185"/>
      <c r="AO136" s="209"/>
      <c r="AP136" s="185"/>
      <c r="AQ136" s="185"/>
      <c r="AR136" s="185"/>
      <c r="AS136" s="210"/>
      <c r="AT136" s="176"/>
      <c r="AU136" s="176"/>
      <c r="AV136" s="176"/>
      <c r="AW136" s="176"/>
      <c r="AX136" s="176"/>
      <c r="AY136" s="176"/>
      <c r="AZ136" s="176"/>
      <c r="BA136" s="176"/>
      <c r="BB136" s="176"/>
      <c r="BC136" s="176"/>
      <c r="BD136" s="176"/>
      <c r="BE136" s="176"/>
      <c r="BF136" s="176"/>
      <c r="BG136" s="176"/>
      <c r="BH136" s="176"/>
      <c r="BI136" s="176"/>
      <c r="BJ136" s="176"/>
      <c r="BK136" s="211"/>
      <c r="BL136" s="211"/>
    </row>
    <row r="137" spans="3:64" s="184" customFormat="1" ht="15">
      <c r="C137" s="211"/>
      <c r="G137" s="208"/>
      <c r="K137" s="248"/>
      <c r="O137" s="208"/>
      <c r="AI137" s="185"/>
      <c r="AJ137" s="185"/>
      <c r="AK137" s="185"/>
      <c r="AL137" s="185"/>
      <c r="AM137" s="185"/>
      <c r="AN137" s="185"/>
      <c r="AO137" s="209"/>
      <c r="AP137" s="185"/>
      <c r="AQ137" s="185"/>
      <c r="AR137" s="185"/>
      <c r="AS137" s="210"/>
      <c r="AT137" s="176"/>
      <c r="AU137" s="176"/>
      <c r="AV137" s="176"/>
      <c r="AW137" s="176"/>
      <c r="AX137" s="176"/>
      <c r="AY137" s="176"/>
      <c r="AZ137" s="176"/>
      <c r="BA137" s="176"/>
      <c r="BB137" s="176"/>
      <c r="BC137" s="176"/>
      <c r="BD137" s="176"/>
      <c r="BE137" s="176"/>
      <c r="BF137" s="176"/>
      <c r="BG137" s="176"/>
      <c r="BH137" s="176"/>
      <c r="BI137" s="176"/>
      <c r="BJ137" s="176"/>
      <c r="BK137" s="211"/>
      <c r="BL137" s="211"/>
    </row>
    <row r="138" spans="3:64" s="184" customFormat="1" ht="15">
      <c r="C138" s="211"/>
      <c r="G138" s="208"/>
      <c r="K138" s="248"/>
      <c r="O138" s="208"/>
      <c r="AI138" s="185"/>
      <c r="AJ138" s="185"/>
      <c r="AK138" s="185"/>
      <c r="AL138" s="185"/>
      <c r="AM138" s="185"/>
      <c r="AN138" s="185"/>
      <c r="AO138" s="209"/>
      <c r="AP138" s="185"/>
      <c r="AQ138" s="185"/>
      <c r="AR138" s="185"/>
      <c r="AS138" s="210"/>
      <c r="AT138" s="176"/>
      <c r="AU138" s="176"/>
      <c r="AV138" s="176"/>
      <c r="AW138" s="176"/>
      <c r="AX138" s="176"/>
      <c r="AY138" s="176"/>
      <c r="AZ138" s="176"/>
      <c r="BA138" s="176"/>
      <c r="BB138" s="176"/>
      <c r="BC138" s="176"/>
      <c r="BD138" s="176"/>
      <c r="BE138" s="176"/>
      <c r="BF138" s="176"/>
      <c r="BG138" s="176"/>
      <c r="BH138" s="176"/>
      <c r="BI138" s="176"/>
      <c r="BJ138" s="176"/>
      <c r="BK138" s="211"/>
      <c r="BL138" s="211"/>
    </row>
    <row r="139" spans="3:64" s="184" customFormat="1" ht="15">
      <c r="C139" s="211"/>
      <c r="G139" s="208"/>
      <c r="K139" s="248"/>
      <c r="O139" s="208"/>
      <c r="AI139" s="185"/>
      <c r="AJ139" s="185"/>
      <c r="AK139" s="185"/>
      <c r="AL139" s="185"/>
      <c r="AM139" s="185"/>
      <c r="AN139" s="185"/>
      <c r="AO139" s="209"/>
      <c r="AP139" s="185"/>
      <c r="AQ139" s="185"/>
      <c r="AR139" s="185"/>
      <c r="AS139" s="210"/>
      <c r="AT139" s="176"/>
      <c r="AU139" s="176"/>
      <c r="AV139" s="176"/>
      <c r="AW139" s="176"/>
      <c r="AX139" s="176"/>
      <c r="AY139" s="176"/>
      <c r="AZ139" s="176"/>
      <c r="BA139" s="176"/>
      <c r="BB139" s="176"/>
      <c r="BC139" s="176"/>
      <c r="BD139" s="176"/>
      <c r="BE139" s="176"/>
      <c r="BF139" s="176"/>
      <c r="BG139" s="176"/>
      <c r="BH139" s="176"/>
      <c r="BI139" s="176"/>
      <c r="BJ139" s="176"/>
      <c r="BK139" s="211"/>
      <c r="BL139" s="211"/>
    </row>
    <row r="140" spans="3:64" s="184" customFormat="1" ht="15">
      <c r="C140" s="211"/>
      <c r="G140" s="208"/>
      <c r="K140" s="248"/>
      <c r="O140" s="208"/>
      <c r="AI140" s="185"/>
      <c r="AJ140" s="185"/>
      <c r="AK140" s="185"/>
      <c r="AL140" s="185"/>
      <c r="AM140" s="185"/>
      <c r="AN140" s="185"/>
      <c r="AO140" s="209"/>
      <c r="AP140" s="185"/>
      <c r="AQ140" s="185"/>
      <c r="AR140" s="185"/>
      <c r="AS140" s="210"/>
      <c r="AT140" s="176"/>
      <c r="AU140" s="176"/>
      <c r="AV140" s="176"/>
      <c r="AW140" s="176"/>
      <c r="AX140" s="176"/>
      <c r="AY140" s="176"/>
      <c r="AZ140" s="176"/>
      <c r="BA140" s="176"/>
      <c r="BB140" s="176"/>
      <c r="BC140" s="176"/>
      <c r="BD140" s="176"/>
      <c r="BE140" s="176"/>
      <c r="BF140" s="176"/>
      <c r="BG140" s="176"/>
      <c r="BH140" s="176"/>
      <c r="BI140" s="176"/>
      <c r="BJ140" s="176"/>
      <c r="BK140" s="211"/>
      <c r="BL140" s="211"/>
    </row>
    <row r="141" spans="3:64" s="184" customFormat="1" ht="15">
      <c r="C141" s="211"/>
      <c r="G141" s="208"/>
      <c r="K141" s="248"/>
      <c r="O141" s="208"/>
      <c r="AI141" s="185"/>
      <c r="AJ141" s="185"/>
      <c r="AK141" s="185"/>
      <c r="AL141" s="185"/>
      <c r="AM141" s="185"/>
      <c r="AN141" s="185"/>
      <c r="AO141" s="209"/>
      <c r="AP141" s="185"/>
      <c r="AQ141" s="185"/>
      <c r="AR141" s="185"/>
      <c r="AS141" s="210"/>
      <c r="AT141" s="176"/>
      <c r="AU141" s="176"/>
      <c r="AV141" s="176"/>
      <c r="AW141" s="176"/>
      <c r="AX141" s="176"/>
      <c r="AY141" s="176"/>
      <c r="AZ141" s="176"/>
      <c r="BA141" s="176"/>
      <c r="BB141" s="176"/>
      <c r="BC141" s="176"/>
      <c r="BD141" s="176"/>
      <c r="BE141" s="176"/>
      <c r="BF141" s="176"/>
      <c r="BG141" s="176"/>
      <c r="BH141" s="176"/>
      <c r="BI141" s="176"/>
      <c r="BJ141" s="176"/>
      <c r="BK141" s="211"/>
      <c r="BL141" s="211"/>
    </row>
    <row r="142" spans="3:64" s="184" customFormat="1" ht="15">
      <c r="C142" s="211"/>
      <c r="G142" s="208"/>
      <c r="K142" s="248"/>
      <c r="O142" s="208"/>
      <c r="AI142" s="185"/>
      <c r="AJ142" s="185"/>
      <c r="AK142" s="185"/>
      <c r="AL142" s="185"/>
      <c r="AM142" s="185"/>
      <c r="AN142" s="185"/>
      <c r="AO142" s="209"/>
      <c r="AP142" s="185"/>
      <c r="AQ142" s="185"/>
      <c r="AR142" s="185"/>
      <c r="AS142" s="210"/>
      <c r="AT142" s="176"/>
      <c r="AU142" s="176"/>
      <c r="AV142" s="176"/>
      <c r="AW142" s="176"/>
      <c r="AX142" s="176"/>
      <c r="AY142" s="176"/>
      <c r="AZ142" s="176"/>
      <c r="BA142" s="176"/>
      <c r="BB142" s="176"/>
      <c r="BC142" s="176"/>
      <c r="BD142" s="176"/>
      <c r="BE142" s="176"/>
      <c r="BF142" s="176"/>
      <c r="BG142" s="176"/>
      <c r="BH142" s="176"/>
      <c r="BI142" s="176"/>
      <c r="BJ142" s="176"/>
      <c r="BK142" s="211"/>
      <c r="BL142" s="211"/>
    </row>
    <row r="143" spans="3:64" s="184" customFormat="1" ht="15">
      <c r="C143" s="211"/>
      <c r="G143" s="208"/>
      <c r="K143" s="248"/>
      <c r="O143" s="208"/>
      <c r="AI143" s="185"/>
      <c r="AJ143" s="185"/>
      <c r="AK143" s="185"/>
      <c r="AL143" s="185"/>
      <c r="AM143" s="185"/>
      <c r="AN143" s="185"/>
      <c r="AO143" s="209"/>
      <c r="AP143" s="185"/>
      <c r="AQ143" s="185"/>
      <c r="AR143" s="185"/>
      <c r="AS143" s="210"/>
      <c r="AT143" s="176"/>
      <c r="AU143" s="176"/>
      <c r="AV143" s="176"/>
      <c r="AW143" s="176"/>
      <c r="AX143" s="176"/>
      <c r="AY143" s="176"/>
      <c r="AZ143" s="176"/>
      <c r="BA143" s="176"/>
      <c r="BB143" s="176"/>
      <c r="BC143" s="176"/>
      <c r="BD143" s="176"/>
      <c r="BE143" s="176"/>
      <c r="BF143" s="176"/>
      <c r="BG143" s="176"/>
      <c r="BH143" s="176"/>
      <c r="BI143" s="176"/>
      <c r="BJ143" s="176"/>
      <c r="BK143" s="211"/>
      <c r="BL143" s="211"/>
    </row>
    <row r="144" spans="3:64" s="184" customFormat="1" ht="15">
      <c r="C144" s="211"/>
      <c r="G144" s="208"/>
      <c r="K144" s="248"/>
      <c r="O144" s="208"/>
      <c r="AI144" s="185"/>
      <c r="AJ144" s="185"/>
      <c r="AK144" s="185"/>
      <c r="AL144" s="185"/>
      <c r="AM144" s="185"/>
      <c r="AN144" s="185"/>
      <c r="AO144" s="209"/>
      <c r="AP144" s="185"/>
      <c r="AQ144" s="185"/>
      <c r="AR144" s="185"/>
      <c r="AS144" s="210"/>
      <c r="AT144" s="176"/>
      <c r="AU144" s="176"/>
      <c r="AV144" s="176"/>
      <c r="AW144" s="176"/>
      <c r="AX144" s="176"/>
      <c r="AY144" s="176"/>
      <c r="AZ144" s="176"/>
      <c r="BA144" s="176"/>
      <c r="BB144" s="176"/>
      <c r="BC144" s="176"/>
      <c r="BD144" s="176"/>
      <c r="BE144" s="176"/>
      <c r="BF144" s="176"/>
      <c r="BG144" s="176"/>
      <c r="BH144" s="176"/>
      <c r="BI144" s="176"/>
      <c r="BJ144" s="176"/>
      <c r="BK144" s="211"/>
      <c r="BL144" s="211"/>
    </row>
    <row r="145" spans="3:64" s="184" customFormat="1" ht="15">
      <c r="C145" s="211"/>
      <c r="G145" s="208"/>
      <c r="K145" s="248"/>
      <c r="O145" s="208"/>
      <c r="AI145" s="185"/>
      <c r="AJ145" s="185"/>
      <c r="AK145" s="185"/>
      <c r="AL145" s="185"/>
      <c r="AM145" s="185"/>
      <c r="AN145" s="185"/>
      <c r="AO145" s="209"/>
      <c r="AP145" s="185"/>
      <c r="AQ145" s="185"/>
      <c r="AR145" s="185"/>
      <c r="AS145" s="210"/>
      <c r="AT145" s="176"/>
      <c r="AU145" s="176"/>
      <c r="AV145" s="176"/>
      <c r="AW145" s="176"/>
      <c r="AX145" s="176"/>
      <c r="AY145" s="176"/>
      <c r="AZ145" s="176"/>
      <c r="BA145" s="176"/>
      <c r="BB145" s="176"/>
      <c r="BC145" s="176"/>
      <c r="BD145" s="176"/>
      <c r="BE145" s="176"/>
      <c r="BF145" s="176"/>
      <c r="BG145" s="176"/>
      <c r="BH145" s="176"/>
      <c r="BI145" s="176"/>
      <c r="BJ145" s="176"/>
      <c r="BK145" s="211"/>
      <c r="BL145" s="211"/>
    </row>
    <row r="146" spans="3:64" s="184" customFormat="1" ht="15">
      <c r="C146" s="211"/>
      <c r="G146" s="208"/>
      <c r="K146" s="248"/>
      <c r="O146" s="208"/>
      <c r="AI146" s="185"/>
      <c r="AJ146" s="185"/>
      <c r="AK146" s="185"/>
      <c r="AL146" s="185"/>
      <c r="AM146" s="185"/>
      <c r="AN146" s="185"/>
      <c r="AO146" s="209"/>
      <c r="AP146" s="185"/>
      <c r="AQ146" s="185"/>
      <c r="AR146" s="185"/>
      <c r="AS146" s="210"/>
      <c r="AT146" s="176"/>
      <c r="AU146" s="176"/>
      <c r="AV146" s="176"/>
      <c r="AW146" s="176"/>
      <c r="AX146" s="176"/>
      <c r="AY146" s="176"/>
      <c r="AZ146" s="176"/>
      <c r="BA146" s="176"/>
      <c r="BB146" s="176"/>
      <c r="BC146" s="176"/>
      <c r="BD146" s="176"/>
      <c r="BE146" s="176"/>
      <c r="BF146" s="176"/>
      <c r="BG146" s="176"/>
      <c r="BH146" s="176"/>
      <c r="BI146" s="176"/>
      <c r="BJ146" s="176"/>
      <c r="BK146" s="211"/>
      <c r="BL146" s="211"/>
    </row>
    <row r="147" spans="3:64" s="184" customFormat="1" ht="15">
      <c r="C147" s="211"/>
      <c r="G147" s="208"/>
      <c r="K147" s="248"/>
      <c r="O147" s="208"/>
      <c r="AI147" s="185"/>
      <c r="AJ147" s="185"/>
      <c r="AK147" s="185"/>
      <c r="AL147" s="185"/>
      <c r="AM147" s="185"/>
      <c r="AN147" s="185"/>
      <c r="AO147" s="209"/>
      <c r="AP147" s="185"/>
      <c r="AQ147" s="185"/>
      <c r="AR147" s="185"/>
      <c r="AS147" s="210"/>
      <c r="AT147" s="176"/>
      <c r="AU147" s="176"/>
      <c r="AV147" s="176"/>
      <c r="AW147" s="176"/>
      <c r="AX147" s="176"/>
      <c r="AY147" s="176"/>
      <c r="AZ147" s="176"/>
      <c r="BA147" s="176"/>
      <c r="BB147" s="176"/>
      <c r="BC147" s="176"/>
      <c r="BD147" s="176"/>
      <c r="BE147" s="176"/>
      <c r="BF147" s="176"/>
      <c r="BG147" s="176"/>
      <c r="BH147" s="176"/>
      <c r="BI147" s="176"/>
      <c r="BJ147" s="176"/>
      <c r="BK147" s="211"/>
      <c r="BL147" s="211"/>
    </row>
    <row r="148" spans="3:64" s="184" customFormat="1" ht="15">
      <c r="C148" s="211"/>
      <c r="G148" s="208"/>
      <c r="K148" s="248"/>
      <c r="O148" s="208"/>
      <c r="AI148" s="185"/>
      <c r="AJ148" s="185"/>
      <c r="AK148" s="185"/>
      <c r="AL148" s="185"/>
      <c r="AM148" s="185"/>
      <c r="AN148" s="185"/>
      <c r="AO148" s="209"/>
      <c r="AP148" s="185"/>
      <c r="AQ148" s="185"/>
      <c r="AR148" s="185"/>
      <c r="AS148" s="210"/>
      <c r="AT148" s="176"/>
      <c r="AU148" s="176"/>
      <c r="AV148" s="176"/>
      <c r="AW148" s="176"/>
      <c r="AX148" s="176"/>
      <c r="AY148" s="176"/>
      <c r="AZ148" s="176"/>
      <c r="BA148" s="176"/>
      <c r="BB148" s="176"/>
      <c r="BC148" s="176"/>
      <c r="BD148" s="176"/>
      <c r="BE148" s="176"/>
      <c r="BF148" s="176"/>
      <c r="BG148" s="176"/>
      <c r="BH148" s="176"/>
      <c r="BI148" s="176"/>
      <c r="BJ148" s="176"/>
      <c r="BK148" s="211"/>
      <c r="BL148" s="211"/>
    </row>
    <row r="149" spans="3:64" s="184" customFormat="1" ht="15">
      <c r="C149" s="211"/>
      <c r="G149" s="208"/>
      <c r="K149" s="248"/>
      <c r="O149" s="208"/>
      <c r="AI149" s="185"/>
      <c r="AJ149" s="185"/>
      <c r="AK149" s="185"/>
      <c r="AL149" s="185"/>
      <c r="AM149" s="185"/>
      <c r="AN149" s="185"/>
      <c r="AO149" s="209"/>
      <c r="AP149" s="185"/>
      <c r="AQ149" s="185"/>
      <c r="AR149" s="185"/>
      <c r="AS149" s="210"/>
      <c r="AT149" s="176"/>
      <c r="AU149" s="176"/>
      <c r="AV149" s="176"/>
      <c r="AW149" s="176"/>
      <c r="AX149" s="176"/>
      <c r="AY149" s="176"/>
      <c r="AZ149" s="176"/>
      <c r="BA149" s="176"/>
      <c r="BB149" s="176"/>
      <c r="BC149" s="176"/>
      <c r="BD149" s="176"/>
      <c r="BE149" s="176"/>
      <c r="BF149" s="176"/>
      <c r="BG149" s="176"/>
      <c r="BH149" s="176"/>
      <c r="BI149" s="176"/>
      <c r="BJ149" s="176"/>
      <c r="BK149" s="211"/>
      <c r="BL149" s="211"/>
    </row>
    <row r="150" spans="3:64" s="184" customFormat="1" ht="15">
      <c r="C150" s="211"/>
      <c r="G150" s="208"/>
      <c r="K150" s="248"/>
      <c r="O150" s="208"/>
      <c r="AI150" s="185"/>
      <c r="AJ150" s="185"/>
      <c r="AK150" s="185"/>
      <c r="AL150" s="185"/>
      <c r="AM150" s="185"/>
      <c r="AN150" s="185"/>
      <c r="AO150" s="209"/>
      <c r="AP150" s="185"/>
      <c r="AQ150" s="185"/>
      <c r="AR150" s="185"/>
      <c r="AS150" s="210"/>
      <c r="AT150" s="176"/>
      <c r="AU150" s="176"/>
      <c r="AV150" s="176"/>
      <c r="AW150" s="176"/>
      <c r="AX150" s="176"/>
      <c r="AY150" s="176"/>
      <c r="AZ150" s="176"/>
      <c r="BA150" s="176"/>
      <c r="BB150" s="176"/>
      <c r="BC150" s="176"/>
      <c r="BD150" s="176"/>
      <c r="BE150" s="176"/>
      <c r="BF150" s="176"/>
      <c r="BG150" s="176"/>
      <c r="BH150" s="176"/>
      <c r="BI150" s="176"/>
      <c r="BJ150" s="176"/>
      <c r="BK150" s="211"/>
      <c r="BL150" s="211"/>
    </row>
    <row r="151" spans="3:64" s="184" customFormat="1" ht="15">
      <c r="C151" s="211"/>
      <c r="G151" s="208"/>
      <c r="K151" s="248"/>
      <c r="O151" s="208"/>
      <c r="AI151" s="185"/>
      <c r="AJ151" s="185"/>
      <c r="AK151" s="185"/>
      <c r="AL151" s="185"/>
      <c r="AM151" s="185"/>
      <c r="AN151" s="185"/>
      <c r="AO151" s="209"/>
      <c r="AP151" s="185"/>
      <c r="AQ151" s="185"/>
      <c r="AR151" s="185"/>
      <c r="AS151" s="210"/>
      <c r="AT151" s="176"/>
      <c r="AU151" s="176"/>
      <c r="AV151" s="176"/>
      <c r="AW151" s="176"/>
      <c r="AX151" s="176"/>
      <c r="AY151" s="176"/>
      <c r="AZ151" s="176"/>
      <c r="BA151" s="176"/>
      <c r="BB151" s="176"/>
      <c r="BC151" s="176"/>
      <c r="BD151" s="176"/>
      <c r="BE151" s="176"/>
      <c r="BF151" s="176"/>
      <c r="BG151" s="176"/>
      <c r="BH151" s="176"/>
      <c r="BI151" s="176"/>
      <c r="BJ151" s="176"/>
      <c r="BK151" s="211"/>
      <c r="BL151" s="211"/>
    </row>
    <row r="152" spans="3:64" s="184" customFormat="1" ht="15">
      <c r="C152" s="211"/>
      <c r="G152" s="208"/>
      <c r="K152" s="248"/>
      <c r="O152" s="208"/>
      <c r="AI152" s="185"/>
      <c r="AJ152" s="185"/>
      <c r="AK152" s="185"/>
      <c r="AL152" s="185"/>
      <c r="AM152" s="185"/>
      <c r="AN152" s="185"/>
      <c r="AO152" s="209"/>
      <c r="AP152" s="185"/>
      <c r="AQ152" s="185"/>
      <c r="AR152" s="185"/>
      <c r="AS152" s="210"/>
      <c r="AT152" s="176"/>
      <c r="AU152" s="176"/>
      <c r="AV152" s="176"/>
      <c r="AW152" s="176"/>
      <c r="AX152" s="176"/>
      <c r="AY152" s="176"/>
      <c r="AZ152" s="176"/>
      <c r="BA152" s="176"/>
      <c r="BB152" s="176"/>
      <c r="BC152" s="176"/>
      <c r="BD152" s="176"/>
      <c r="BE152" s="176"/>
      <c r="BF152" s="176"/>
      <c r="BG152" s="176"/>
      <c r="BH152" s="176"/>
      <c r="BI152" s="176"/>
      <c r="BJ152" s="176"/>
      <c r="BK152" s="211"/>
      <c r="BL152" s="211"/>
    </row>
    <row r="153" spans="3:64" s="184" customFormat="1" ht="15">
      <c r="C153" s="211"/>
      <c r="G153" s="208"/>
      <c r="K153" s="248"/>
      <c r="O153" s="208"/>
      <c r="AI153" s="185"/>
      <c r="AJ153" s="185"/>
      <c r="AK153" s="185"/>
      <c r="AL153" s="185"/>
      <c r="AM153" s="185"/>
      <c r="AN153" s="185"/>
      <c r="AO153" s="209"/>
      <c r="AP153" s="185"/>
      <c r="AQ153" s="185"/>
      <c r="AR153" s="185"/>
      <c r="AS153" s="210"/>
      <c r="AT153" s="176"/>
      <c r="AU153" s="176"/>
      <c r="AV153" s="176"/>
      <c r="AW153" s="176"/>
      <c r="AX153" s="176"/>
      <c r="AY153" s="176"/>
      <c r="AZ153" s="176"/>
      <c r="BA153" s="176"/>
      <c r="BB153" s="176"/>
      <c r="BC153" s="176"/>
      <c r="BD153" s="176"/>
      <c r="BE153" s="176"/>
      <c r="BF153" s="176"/>
      <c r="BG153" s="176"/>
      <c r="BH153" s="176"/>
      <c r="BI153" s="176"/>
      <c r="BJ153" s="176"/>
      <c r="BK153" s="211"/>
      <c r="BL153" s="211"/>
    </row>
    <row r="154" spans="3:64" s="184" customFormat="1" ht="15">
      <c r="C154" s="211"/>
      <c r="G154" s="208"/>
      <c r="K154" s="248"/>
      <c r="O154" s="208"/>
      <c r="AI154" s="185"/>
      <c r="AJ154" s="185"/>
      <c r="AK154" s="185"/>
      <c r="AL154" s="185"/>
      <c r="AM154" s="185"/>
      <c r="AN154" s="185"/>
      <c r="AO154" s="209"/>
      <c r="AP154" s="185"/>
      <c r="AQ154" s="185"/>
      <c r="AR154" s="185"/>
      <c r="AS154" s="210"/>
      <c r="AT154" s="176"/>
      <c r="AU154" s="176"/>
      <c r="AV154" s="176"/>
      <c r="AW154" s="176"/>
      <c r="AX154" s="176"/>
      <c r="AY154" s="176"/>
      <c r="AZ154" s="176"/>
      <c r="BA154" s="176"/>
      <c r="BB154" s="176"/>
      <c r="BC154" s="176"/>
      <c r="BD154" s="176"/>
      <c r="BE154" s="176"/>
      <c r="BF154" s="176"/>
      <c r="BG154" s="176"/>
      <c r="BH154" s="176"/>
      <c r="BI154" s="176"/>
      <c r="BJ154" s="176"/>
      <c r="BK154" s="211"/>
      <c r="BL154" s="211"/>
    </row>
    <row r="155" spans="3:64" s="184" customFormat="1" ht="15">
      <c r="C155" s="211"/>
      <c r="G155" s="208"/>
      <c r="K155" s="248"/>
      <c r="O155" s="208"/>
      <c r="AI155" s="185"/>
      <c r="AJ155" s="185"/>
      <c r="AK155" s="185"/>
      <c r="AL155" s="185"/>
      <c r="AM155" s="185"/>
      <c r="AN155" s="185"/>
      <c r="AO155" s="209"/>
      <c r="AP155" s="185"/>
      <c r="AQ155" s="185"/>
      <c r="AR155" s="185"/>
      <c r="AS155" s="210"/>
      <c r="AT155" s="176"/>
      <c r="AU155" s="176"/>
      <c r="AV155" s="176"/>
      <c r="AW155" s="176"/>
      <c r="AX155" s="176"/>
      <c r="AY155" s="176"/>
      <c r="AZ155" s="176"/>
      <c r="BA155" s="176"/>
      <c r="BB155" s="176"/>
      <c r="BC155" s="176"/>
      <c r="BD155" s="176"/>
      <c r="BE155" s="176"/>
      <c r="BF155" s="176"/>
      <c r="BG155" s="176"/>
      <c r="BH155" s="176"/>
      <c r="BI155" s="176"/>
      <c r="BJ155" s="176"/>
      <c r="BK155" s="211"/>
      <c r="BL155" s="211"/>
    </row>
    <row r="156" spans="3:64" s="184" customFormat="1" ht="15">
      <c r="C156" s="211"/>
      <c r="G156" s="208"/>
      <c r="K156" s="248"/>
      <c r="O156" s="208"/>
      <c r="AI156" s="185"/>
      <c r="AJ156" s="185"/>
      <c r="AK156" s="185"/>
      <c r="AL156" s="185"/>
      <c r="AM156" s="185"/>
      <c r="AN156" s="185"/>
      <c r="AO156" s="209"/>
      <c r="AP156" s="185"/>
      <c r="AQ156" s="185"/>
      <c r="AR156" s="185"/>
      <c r="AS156" s="210"/>
      <c r="AT156" s="176"/>
      <c r="AU156" s="176"/>
      <c r="AV156" s="176"/>
      <c r="AW156" s="176"/>
      <c r="AX156" s="176"/>
      <c r="AY156" s="176"/>
      <c r="AZ156" s="176"/>
      <c r="BA156" s="176"/>
      <c r="BB156" s="176"/>
      <c r="BC156" s="176"/>
      <c r="BD156" s="176"/>
      <c r="BE156" s="176"/>
      <c r="BF156" s="176"/>
      <c r="BG156" s="176"/>
      <c r="BH156" s="176"/>
      <c r="BI156" s="176"/>
      <c r="BJ156" s="176"/>
      <c r="BK156" s="211"/>
      <c r="BL156" s="211"/>
    </row>
    <row r="157" spans="3:64" s="184" customFormat="1" ht="15">
      <c r="C157" s="211"/>
      <c r="G157" s="208"/>
      <c r="K157" s="248"/>
      <c r="O157" s="208"/>
      <c r="AI157" s="185"/>
      <c r="AJ157" s="185"/>
      <c r="AK157" s="185"/>
      <c r="AL157" s="185"/>
      <c r="AM157" s="185"/>
      <c r="AN157" s="185"/>
      <c r="AO157" s="209"/>
      <c r="AP157" s="185"/>
      <c r="AQ157" s="185"/>
      <c r="AR157" s="185"/>
      <c r="AS157" s="210"/>
      <c r="AT157" s="176"/>
      <c r="AU157" s="176"/>
      <c r="AV157" s="176"/>
      <c r="AW157" s="176"/>
      <c r="AX157" s="176"/>
      <c r="AY157" s="176"/>
      <c r="AZ157" s="176"/>
      <c r="BA157" s="176"/>
      <c r="BB157" s="176"/>
      <c r="BC157" s="176"/>
      <c r="BD157" s="176"/>
      <c r="BE157" s="176"/>
      <c r="BF157" s="176"/>
      <c r="BG157" s="176"/>
      <c r="BH157" s="176"/>
      <c r="BI157" s="176"/>
      <c r="BJ157" s="176"/>
      <c r="BK157" s="211"/>
      <c r="BL157" s="211"/>
    </row>
    <row r="158" spans="3:64" s="184" customFormat="1" ht="15">
      <c r="C158" s="211"/>
      <c r="G158" s="208"/>
      <c r="K158" s="248"/>
      <c r="O158" s="208"/>
      <c r="AI158" s="185"/>
      <c r="AJ158" s="185"/>
      <c r="AK158" s="185"/>
      <c r="AL158" s="185"/>
      <c r="AM158" s="185"/>
      <c r="AN158" s="185"/>
      <c r="AO158" s="209"/>
      <c r="AP158" s="185"/>
      <c r="AQ158" s="185"/>
      <c r="AR158" s="185"/>
      <c r="AS158" s="210"/>
      <c r="AT158" s="176"/>
      <c r="AU158" s="176"/>
      <c r="AV158" s="176"/>
      <c r="AW158" s="176"/>
      <c r="AX158" s="176"/>
      <c r="AY158" s="176"/>
      <c r="AZ158" s="176"/>
      <c r="BA158" s="176"/>
      <c r="BB158" s="176"/>
      <c r="BC158" s="176"/>
      <c r="BD158" s="176"/>
      <c r="BE158" s="176"/>
      <c r="BF158" s="176"/>
      <c r="BG158" s="176"/>
      <c r="BH158" s="176"/>
      <c r="BI158" s="176"/>
      <c r="BJ158" s="176"/>
      <c r="BK158" s="211"/>
      <c r="BL158" s="211"/>
    </row>
    <row r="159" spans="3:64" s="184" customFormat="1" ht="15">
      <c r="C159" s="211"/>
      <c r="G159" s="208"/>
      <c r="K159" s="248"/>
      <c r="O159" s="208"/>
      <c r="AI159" s="185"/>
      <c r="AJ159" s="185"/>
      <c r="AK159" s="185"/>
      <c r="AL159" s="185"/>
      <c r="AM159" s="185"/>
      <c r="AN159" s="185"/>
      <c r="AO159" s="209"/>
      <c r="AP159" s="185"/>
      <c r="AQ159" s="185"/>
      <c r="AR159" s="185"/>
      <c r="AS159" s="210"/>
      <c r="AT159" s="176"/>
      <c r="AU159" s="176"/>
      <c r="AV159" s="176"/>
      <c r="AW159" s="176"/>
      <c r="AX159" s="176"/>
      <c r="AY159" s="176"/>
      <c r="AZ159" s="176"/>
      <c r="BA159" s="176"/>
      <c r="BB159" s="176"/>
      <c r="BC159" s="176"/>
      <c r="BD159" s="176"/>
      <c r="BE159" s="176"/>
      <c r="BF159" s="176"/>
      <c r="BG159" s="176"/>
      <c r="BH159" s="176"/>
      <c r="BI159" s="176"/>
      <c r="BJ159" s="176"/>
      <c r="BK159" s="211"/>
      <c r="BL159" s="211"/>
    </row>
    <row r="160" spans="3:64" s="184" customFormat="1" ht="15">
      <c r="C160" s="211"/>
      <c r="G160" s="208"/>
      <c r="K160" s="248"/>
      <c r="O160" s="208"/>
      <c r="AI160" s="185"/>
      <c r="AJ160" s="185"/>
      <c r="AK160" s="185"/>
      <c r="AL160" s="185"/>
      <c r="AM160" s="185"/>
      <c r="AN160" s="185"/>
      <c r="AO160" s="209"/>
      <c r="AP160" s="185"/>
      <c r="AQ160" s="185"/>
      <c r="AR160" s="185"/>
      <c r="AS160" s="210"/>
      <c r="AT160" s="176"/>
      <c r="AU160" s="176"/>
      <c r="AV160" s="176"/>
      <c r="AW160" s="176"/>
      <c r="AX160" s="176"/>
      <c r="AY160" s="176"/>
      <c r="AZ160" s="176"/>
      <c r="BA160" s="176"/>
      <c r="BB160" s="176"/>
      <c r="BC160" s="176"/>
      <c r="BD160" s="176"/>
      <c r="BE160" s="176"/>
      <c r="BF160" s="176"/>
      <c r="BG160" s="176"/>
      <c r="BH160" s="176"/>
      <c r="BI160" s="176"/>
      <c r="BJ160" s="176"/>
      <c r="BK160" s="211"/>
      <c r="BL160" s="211"/>
    </row>
    <row r="161" spans="3:64" s="184" customFormat="1" ht="15">
      <c r="C161" s="211"/>
      <c r="G161" s="208"/>
      <c r="K161" s="248"/>
      <c r="O161" s="208"/>
      <c r="AI161" s="185"/>
      <c r="AJ161" s="185"/>
      <c r="AK161" s="185"/>
      <c r="AL161" s="185"/>
      <c r="AM161" s="185"/>
      <c r="AN161" s="185"/>
      <c r="AO161" s="209"/>
      <c r="AP161" s="185"/>
      <c r="AQ161" s="185"/>
      <c r="AR161" s="185"/>
      <c r="AS161" s="210"/>
      <c r="AT161" s="176"/>
      <c r="AU161" s="176"/>
      <c r="AV161" s="176"/>
      <c r="AW161" s="176"/>
      <c r="AX161" s="176"/>
      <c r="AY161" s="176"/>
      <c r="AZ161" s="176"/>
      <c r="BA161" s="176"/>
      <c r="BB161" s="176"/>
      <c r="BC161" s="176"/>
      <c r="BD161" s="176"/>
      <c r="BE161" s="176"/>
      <c r="BF161" s="176"/>
      <c r="BG161" s="176"/>
      <c r="BH161" s="176"/>
      <c r="BI161" s="176"/>
      <c r="BJ161" s="176"/>
      <c r="BK161" s="211"/>
      <c r="BL161" s="211"/>
    </row>
    <row r="162" spans="3:64" s="184" customFormat="1" ht="15">
      <c r="C162" s="211"/>
      <c r="G162" s="208"/>
      <c r="K162" s="248"/>
      <c r="O162" s="208"/>
      <c r="AI162" s="185"/>
      <c r="AJ162" s="185"/>
      <c r="AK162" s="185"/>
      <c r="AL162" s="185"/>
      <c r="AM162" s="185"/>
      <c r="AN162" s="185"/>
      <c r="AO162" s="209"/>
      <c r="AP162" s="185"/>
      <c r="AQ162" s="185"/>
      <c r="AR162" s="185"/>
      <c r="AS162" s="210"/>
      <c r="AT162" s="176"/>
      <c r="AU162" s="176"/>
      <c r="AV162" s="176"/>
      <c r="AW162" s="176"/>
      <c r="AX162" s="176"/>
      <c r="AY162" s="176"/>
      <c r="AZ162" s="176"/>
      <c r="BA162" s="176"/>
      <c r="BB162" s="176"/>
      <c r="BC162" s="176"/>
      <c r="BD162" s="176"/>
      <c r="BE162" s="176"/>
      <c r="BF162" s="176"/>
      <c r="BG162" s="176"/>
      <c r="BH162" s="176"/>
      <c r="BI162" s="176"/>
      <c r="BJ162" s="176"/>
      <c r="BK162" s="211"/>
      <c r="BL162" s="211"/>
    </row>
    <row r="163" spans="3:64" s="184" customFormat="1" ht="15">
      <c r="C163" s="211"/>
      <c r="G163" s="208"/>
      <c r="K163" s="248"/>
      <c r="O163" s="208"/>
      <c r="AI163" s="185"/>
      <c r="AJ163" s="185"/>
      <c r="AK163" s="185"/>
      <c r="AL163" s="185"/>
      <c r="AM163" s="185"/>
      <c r="AN163" s="185"/>
      <c r="AO163" s="209"/>
      <c r="AP163" s="185"/>
      <c r="AQ163" s="185"/>
      <c r="AR163" s="185"/>
      <c r="AS163" s="210"/>
      <c r="AT163" s="176"/>
      <c r="AU163" s="176"/>
      <c r="AV163" s="176"/>
      <c r="AW163" s="176"/>
      <c r="AX163" s="176"/>
      <c r="AY163" s="176"/>
      <c r="AZ163" s="176"/>
      <c r="BA163" s="176"/>
      <c r="BB163" s="176"/>
      <c r="BC163" s="176"/>
      <c r="BD163" s="176"/>
      <c r="BE163" s="176"/>
      <c r="BF163" s="176"/>
      <c r="BG163" s="176"/>
      <c r="BH163" s="176"/>
      <c r="BI163" s="176"/>
      <c r="BJ163" s="176"/>
      <c r="BK163" s="211"/>
      <c r="BL163" s="211"/>
    </row>
    <row r="164" spans="3:64" s="184" customFormat="1" ht="15">
      <c r="C164" s="211"/>
      <c r="G164" s="208"/>
      <c r="K164" s="248"/>
      <c r="O164" s="208"/>
      <c r="AI164" s="185"/>
      <c r="AJ164" s="185"/>
      <c r="AK164" s="185"/>
      <c r="AL164" s="185"/>
      <c r="AM164" s="185"/>
      <c r="AN164" s="185"/>
      <c r="AO164" s="209"/>
      <c r="AP164" s="185"/>
      <c r="AQ164" s="185"/>
      <c r="AR164" s="185"/>
      <c r="AS164" s="210"/>
      <c r="AT164" s="176"/>
      <c r="AU164" s="176"/>
      <c r="AV164" s="176"/>
      <c r="AW164" s="176"/>
      <c r="AX164" s="176"/>
      <c r="AY164" s="176"/>
      <c r="AZ164" s="176"/>
      <c r="BA164" s="176"/>
      <c r="BB164" s="176"/>
      <c r="BC164" s="176"/>
      <c r="BD164" s="176"/>
      <c r="BE164" s="176"/>
      <c r="BF164" s="176"/>
      <c r="BG164" s="176"/>
      <c r="BH164" s="176"/>
      <c r="BI164" s="176"/>
      <c r="BJ164" s="176"/>
      <c r="BK164" s="211"/>
      <c r="BL164" s="211"/>
    </row>
    <row r="165" spans="3:64" s="184" customFormat="1" ht="15">
      <c r="C165" s="211"/>
      <c r="G165" s="208"/>
      <c r="K165" s="248"/>
      <c r="O165" s="208"/>
      <c r="AI165" s="185"/>
      <c r="AJ165" s="185"/>
      <c r="AK165" s="185"/>
      <c r="AL165" s="185"/>
      <c r="AM165" s="185"/>
      <c r="AN165" s="185"/>
      <c r="AO165" s="209"/>
      <c r="AP165" s="185"/>
      <c r="AQ165" s="185"/>
      <c r="AR165" s="185"/>
      <c r="AS165" s="210"/>
      <c r="AT165" s="176"/>
      <c r="AU165" s="176"/>
      <c r="AV165" s="176"/>
      <c r="AW165" s="176"/>
      <c r="AX165" s="176"/>
      <c r="AY165" s="176"/>
      <c r="AZ165" s="176"/>
      <c r="BA165" s="176"/>
      <c r="BB165" s="176"/>
      <c r="BC165" s="176"/>
      <c r="BD165" s="176"/>
      <c r="BE165" s="176"/>
      <c r="BF165" s="176"/>
      <c r="BG165" s="176"/>
      <c r="BH165" s="176"/>
      <c r="BI165" s="176"/>
      <c r="BJ165" s="176"/>
      <c r="BK165" s="211"/>
      <c r="BL165" s="211"/>
    </row>
    <row r="166" spans="3:64" s="184" customFormat="1" ht="15">
      <c r="C166" s="211"/>
      <c r="G166" s="208"/>
      <c r="K166" s="248"/>
      <c r="O166" s="208"/>
      <c r="AI166" s="185"/>
      <c r="AJ166" s="185"/>
      <c r="AK166" s="185"/>
      <c r="AL166" s="185"/>
      <c r="AM166" s="185"/>
      <c r="AN166" s="185"/>
      <c r="AO166" s="209"/>
      <c r="AP166" s="185"/>
      <c r="AQ166" s="185"/>
      <c r="AR166" s="185"/>
      <c r="AS166" s="210"/>
      <c r="AT166" s="176"/>
      <c r="AU166" s="176"/>
      <c r="AV166" s="176"/>
      <c r="AW166" s="176"/>
      <c r="AX166" s="176"/>
      <c r="AY166" s="176"/>
      <c r="AZ166" s="176"/>
      <c r="BA166" s="176"/>
      <c r="BB166" s="176"/>
      <c r="BC166" s="176"/>
      <c r="BD166" s="176"/>
      <c r="BE166" s="176"/>
      <c r="BF166" s="176"/>
      <c r="BG166" s="176"/>
      <c r="BH166" s="176"/>
      <c r="BI166" s="176"/>
      <c r="BJ166" s="176"/>
      <c r="BK166" s="211"/>
      <c r="BL166" s="211"/>
    </row>
    <row r="167" spans="3:64" s="184" customFormat="1" ht="15">
      <c r="C167" s="211"/>
      <c r="G167" s="208"/>
      <c r="K167" s="248"/>
      <c r="O167" s="208"/>
      <c r="AI167" s="185"/>
      <c r="AJ167" s="185"/>
      <c r="AK167" s="185"/>
      <c r="AL167" s="185"/>
      <c r="AM167" s="185"/>
      <c r="AN167" s="185"/>
      <c r="AO167" s="209"/>
      <c r="AP167" s="185"/>
      <c r="AQ167" s="185"/>
      <c r="AR167" s="185"/>
      <c r="AS167" s="210"/>
      <c r="AT167" s="176"/>
      <c r="AU167" s="176"/>
      <c r="AV167" s="176"/>
      <c r="AW167" s="176"/>
      <c r="AX167" s="176"/>
      <c r="AY167" s="176"/>
      <c r="AZ167" s="176"/>
      <c r="BA167" s="176"/>
      <c r="BB167" s="176"/>
      <c r="BC167" s="176"/>
      <c r="BD167" s="176"/>
      <c r="BE167" s="176"/>
      <c r="BF167" s="176"/>
      <c r="BG167" s="176"/>
      <c r="BH167" s="176"/>
      <c r="BI167" s="176"/>
      <c r="BJ167" s="176"/>
      <c r="BK167" s="211"/>
      <c r="BL167" s="211"/>
    </row>
    <row r="168" spans="3:64" s="184" customFormat="1" ht="15">
      <c r="C168" s="211"/>
      <c r="G168" s="208"/>
      <c r="K168" s="248"/>
      <c r="O168" s="208"/>
      <c r="AI168" s="185"/>
      <c r="AJ168" s="185"/>
      <c r="AK168" s="185"/>
      <c r="AL168" s="185"/>
      <c r="AM168" s="185"/>
      <c r="AN168" s="185"/>
      <c r="AO168" s="209"/>
      <c r="AP168" s="185"/>
      <c r="AQ168" s="185"/>
      <c r="AR168" s="185"/>
      <c r="AS168" s="210"/>
      <c r="AT168" s="176"/>
      <c r="AU168" s="176"/>
      <c r="AV168" s="176"/>
      <c r="AW168" s="176"/>
      <c r="AX168" s="176"/>
      <c r="AY168" s="176"/>
      <c r="AZ168" s="176"/>
      <c r="BA168" s="176"/>
      <c r="BB168" s="176"/>
      <c r="BC168" s="176"/>
      <c r="BD168" s="176"/>
      <c r="BE168" s="176"/>
      <c r="BF168" s="176"/>
      <c r="BG168" s="176"/>
      <c r="BH168" s="176"/>
      <c r="BI168" s="176"/>
      <c r="BJ168" s="176"/>
      <c r="BK168" s="211"/>
      <c r="BL168" s="211"/>
    </row>
    <row r="169" spans="3:64" s="184" customFormat="1" ht="15">
      <c r="C169" s="211"/>
      <c r="G169" s="208"/>
      <c r="K169" s="248"/>
      <c r="O169" s="208"/>
      <c r="AI169" s="185"/>
      <c r="AJ169" s="185"/>
      <c r="AK169" s="185"/>
      <c r="AL169" s="185"/>
      <c r="AM169" s="185"/>
      <c r="AN169" s="185"/>
      <c r="AO169" s="209"/>
      <c r="AP169" s="185"/>
      <c r="AQ169" s="185"/>
      <c r="AR169" s="185"/>
      <c r="AS169" s="210"/>
      <c r="AT169" s="176"/>
      <c r="AU169" s="176"/>
      <c r="AV169" s="176"/>
      <c r="AW169" s="176"/>
      <c r="AX169" s="176"/>
      <c r="AY169" s="176"/>
      <c r="AZ169" s="176"/>
      <c r="BA169" s="176"/>
      <c r="BB169" s="176"/>
      <c r="BC169" s="176"/>
      <c r="BD169" s="176"/>
      <c r="BE169" s="176"/>
      <c r="BF169" s="176"/>
      <c r="BG169" s="176"/>
      <c r="BH169" s="176"/>
      <c r="BI169" s="176"/>
      <c r="BJ169" s="176"/>
      <c r="BK169" s="211"/>
      <c r="BL169" s="211"/>
    </row>
    <row r="170" spans="3:64" s="184" customFormat="1" ht="15">
      <c r="C170" s="211"/>
      <c r="G170" s="208"/>
      <c r="K170" s="248"/>
      <c r="O170" s="208"/>
      <c r="AI170" s="185"/>
      <c r="AJ170" s="185"/>
      <c r="AK170" s="185"/>
      <c r="AL170" s="185"/>
      <c r="AM170" s="185"/>
      <c r="AN170" s="185"/>
      <c r="AO170" s="209"/>
      <c r="AP170" s="185"/>
      <c r="AQ170" s="185"/>
      <c r="AR170" s="185"/>
      <c r="AS170" s="210"/>
      <c r="AT170" s="176"/>
      <c r="AU170" s="176"/>
      <c r="AV170" s="176"/>
      <c r="AW170" s="176"/>
      <c r="AX170" s="176"/>
      <c r="AY170" s="176"/>
      <c r="AZ170" s="176"/>
      <c r="BA170" s="176"/>
      <c r="BB170" s="176"/>
      <c r="BC170" s="176"/>
      <c r="BD170" s="176"/>
      <c r="BE170" s="176"/>
      <c r="BF170" s="176"/>
      <c r="BG170" s="176"/>
      <c r="BH170" s="176"/>
      <c r="BI170" s="176"/>
      <c r="BJ170" s="176"/>
      <c r="BK170" s="211"/>
      <c r="BL170" s="211"/>
    </row>
    <row r="171" spans="3:64" s="184" customFormat="1" ht="15">
      <c r="C171" s="211"/>
      <c r="G171" s="208"/>
      <c r="K171" s="248"/>
      <c r="O171" s="208"/>
      <c r="AI171" s="185"/>
      <c r="AJ171" s="185"/>
      <c r="AK171" s="185"/>
      <c r="AL171" s="185"/>
      <c r="AM171" s="185"/>
      <c r="AN171" s="185"/>
      <c r="AO171" s="209"/>
      <c r="AP171" s="185"/>
      <c r="AQ171" s="185"/>
      <c r="AR171" s="185"/>
      <c r="AS171" s="210"/>
      <c r="AT171" s="176"/>
      <c r="AU171" s="176"/>
      <c r="AV171" s="176"/>
      <c r="AW171" s="176"/>
      <c r="AX171" s="176"/>
      <c r="AY171" s="176"/>
      <c r="AZ171" s="176"/>
      <c r="BA171" s="176"/>
      <c r="BB171" s="176"/>
      <c r="BC171" s="176"/>
      <c r="BD171" s="176"/>
      <c r="BE171" s="176"/>
      <c r="BF171" s="176"/>
      <c r="BG171" s="176"/>
      <c r="BH171" s="176"/>
      <c r="BI171" s="176"/>
      <c r="BJ171" s="176"/>
      <c r="BK171" s="211"/>
      <c r="BL171" s="211"/>
    </row>
    <row r="172" spans="3:64" s="184" customFormat="1" ht="15">
      <c r="C172" s="211"/>
      <c r="G172" s="208"/>
      <c r="K172" s="248"/>
      <c r="O172" s="208"/>
      <c r="AI172" s="185"/>
      <c r="AJ172" s="185"/>
      <c r="AK172" s="185"/>
      <c r="AL172" s="185"/>
      <c r="AM172" s="185"/>
      <c r="AN172" s="185"/>
      <c r="AO172" s="209"/>
      <c r="AP172" s="185"/>
      <c r="AQ172" s="185"/>
      <c r="AR172" s="185"/>
      <c r="AS172" s="210"/>
      <c r="AT172" s="176"/>
      <c r="AU172" s="176"/>
      <c r="AV172" s="176"/>
      <c r="AW172" s="176"/>
      <c r="AX172" s="176"/>
      <c r="AY172" s="176"/>
      <c r="AZ172" s="176"/>
      <c r="BA172" s="176"/>
      <c r="BB172" s="176"/>
      <c r="BC172" s="176"/>
      <c r="BD172" s="176"/>
      <c r="BE172" s="176"/>
      <c r="BF172" s="176"/>
      <c r="BG172" s="176"/>
      <c r="BH172" s="176"/>
      <c r="BI172" s="176"/>
      <c r="BJ172" s="176"/>
      <c r="BK172" s="211"/>
      <c r="BL172" s="211"/>
    </row>
    <row r="173" spans="3:64" s="184" customFormat="1" ht="15">
      <c r="C173" s="211"/>
      <c r="G173" s="208"/>
      <c r="K173" s="248"/>
      <c r="O173" s="208"/>
      <c r="AI173" s="185"/>
      <c r="AJ173" s="185"/>
      <c r="AK173" s="185"/>
      <c r="AL173" s="185"/>
      <c r="AM173" s="185"/>
      <c r="AN173" s="185"/>
      <c r="AO173" s="209"/>
      <c r="AP173" s="185"/>
      <c r="AQ173" s="185"/>
      <c r="AR173" s="185"/>
      <c r="AS173" s="210"/>
      <c r="AT173" s="176"/>
      <c r="AU173" s="176"/>
      <c r="AV173" s="176"/>
      <c r="AW173" s="176"/>
      <c r="AX173" s="176"/>
      <c r="AY173" s="176"/>
      <c r="AZ173" s="176"/>
      <c r="BA173" s="176"/>
      <c r="BB173" s="176"/>
      <c r="BC173" s="176"/>
      <c r="BD173" s="176"/>
      <c r="BE173" s="176"/>
      <c r="BF173" s="176"/>
      <c r="BG173" s="176"/>
      <c r="BH173" s="176"/>
      <c r="BI173" s="176"/>
      <c r="BJ173" s="176"/>
      <c r="BK173" s="211"/>
      <c r="BL173" s="211"/>
    </row>
    <row r="174" spans="3:64" s="184" customFormat="1" ht="15">
      <c r="C174" s="211"/>
      <c r="G174" s="208"/>
      <c r="K174" s="248"/>
      <c r="O174" s="208"/>
      <c r="AI174" s="185"/>
      <c r="AJ174" s="185"/>
      <c r="AK174" s="185"/>
      <c r="AL174" s="185"/>
      <c r="AM174" s="185"/>
      <c r="AN174" s="185"/>
      <c r="AO174" s="209"/>
      <c r="AP174" s="185"/>
      <c r="AQ174" s="185"/>
      <c r="AR174" s="185"/>
      <c r="AS174" s="210"/>
      <c r="AT174" s="176"/>
      <c r="AU174" s="176"/>
      <c r="AV174" s="176"/>
      <c r="AW174" s="176"/>
      <c r="AX174" s="176"/>
      <c r="AY174" s="176"/>
      <c r="AZ174" s="176"/>
      <c r="BA174" s="176"/>
      <c r="BB174" s="176"/>
      <c r="BC174" s="176"/>
      <c r="BD174" s="176"/>
      <c r="BE174" s="176"/>
      <c r="BF174" s="176"/>
      <c r="BG174" s="176"/>
      <c r="BH174" s="176"/>
      <c r="BI174" s="176"/>
      <c r="BJ174" s="176"/>
      <c r="BK174" s="211"/>
      <c r="BL174" s="211"/>
    </row>
    <row r="175" spans="3:64" s="184" customFormat="1" ht="15">
      <c r="C175" s="211"/>
      <c r="G175" s="208"/>
      <c r="K175" s="248"/>
      <c r="O175" s="208"/>
      <c r="AI175" s="185"/>
      <c r="AJ175" s="185"/>
      <c r="AK175" s="185"/>
      <c r="AL175" s="185"/>
      <c r="AM175" s="185"/>
      <c r="AN175" s="185"/>
      <c r="AO175" s="209"/>
      <c r="AP175" s="185"/>
      <c r="AQ175" s="185"/>
      <c r="AR175" s="185"/>
      <c r="AS175" s="210"/>
      <c r="AT175" s="176"/>
      <c r="AU175" s="176"/>
      <c r="AV175" s="176"/>
      <c r="AW175" s="176"/>
      <c r="AX175" s="176"/>
      <c r="AY175" s="176"/>
      <c r="AZ175" s="176"/>
      <c r="BA175" s="176"/>
      <c r="BB175" s="176"/>
      <c r="BC175" s="176"/>
      <c r="BD175" s="176"/>
      <c r="BE175" s="176"/>
      <c r="BF175" s="176"/>
      <c r="BG175" s="176"/>
      <c r="BH175" s="176"/>
      <c r="BI175" s="176"/>
      <c r="BJ175" s="176"/>
      <c r="BK175" s="211"/>
      <c r="BL175" s="211"/>
    </row>
    <row r="176" spans="3:64" s="184" customFormat="1" ht="15">
      <c r="C176" s="211"/>
      <c r="G176" s="208"/>
      <c r="K176" s="248"/>
      <c r="O176" s="208"/>
      <c r="AI176" s="185"/>
      <c r="AJ176" s="185"/>
      <c r="AK176" s="185"/>
      <c r="AL176" s="185"/>
      <c r="AM176" s="185"/>
      <c r="AN176" s="185"/>
      <c r="AO176" s="209"/>
      <c r="AP176" s="185"/>
      <c r="AQ176" s="185"/>
      <c r="AR176" s="185"/>
      <c r="AS176" s="210"/>
      <c r="AT176" s="176"/>
      <c r="AU176" s="176"/>
      <c r="AV176" s="176"/>
      <c r="AW176" s="176"/>
      <c r="AX176" s="176"/>
      <c r="AY176" s="176"/>
      <c r="AZ176" s="176"/>
      <c r="BA176" s="176"/>
      <c r="BB176" s="176"/>
      <c r="BC176" s="176"/>
      <c r="BD176" s="176"/>
      <c r="BE176" s="176"/>
      <c r="BF176" s="176"/>
      <c r="BG176" s="176"/>
      <c r="BH176" s="176"/>
      <c r="BI176" s="176"/>
      <c r="BJ176" s="176"/>
      <c r="BK176" s="211"/>
      <c r="BL176" s="211"/>
    </row>
    <row r="177" spans="3:64" s="184" customFormat="1" ht="15">
      <c r="C177" s="211"/>
      <c r="G177" s="208"/>
      <c r="K177" s="248"/>
      <c r="O177" s="208"/>
      <c r="AI177" s="185"/>
      <c r="AJ177" s="185"/>
      <c r="AK177" s="185"/>
      <c r="AL177" s="185"/>
      <c r="AM177" s="185"/>
      <c r="AN177" s="185"/>
      <c r="AO177" s="209"/>
      <c r="AP177" s="185"/>
      <c r="AQ177" s="185"/>
      <c r="AR177" s="185"/>
      <c r="AS177" s="210"/>
      <c r="AT177" s="176"/>
      <c r="AU177" s="176"/>
      <c r="AV177" s="176"/>
      <c r="AW177" s="176"/>
      <c r="AX177" s="176"/>
      <c r="AY177" s="176"/>
      <c r="AZ177" s="176"/>
      <c r="BA177" s="176"/>
      <c r="BB177" s="176"/>
      <c r="BC177" s="176"/>
      <c r="BD177" s="176"/>
      <c r="BE177" s="176"/>
      <c r="BF177" s="176"/>
      <c r="BG177" s="176"/>
      <c r="BH177" s="176"/>
      <c r="BI177" s="176"/>
      <c r="BJ177" s="176"/>
      <c r="BK177" s="211"/>
      <c r="BL177" s="211"/>
    </row>
    <row r="178" spans="3:64" s="184" customFormat="1" ht="15">
      <c r="C178" s="211"/>
      <c r="G178" s="208"/>
      <c r="K178" s="248"/>
      <c r="O178" s="208"/>
      <c r="AI178" s="185"/>
      <c r="AJ178" s="185"/>
      <c r="AK178" s="185"/>
      <c r="AL178" s="185"/>
      <c r="AM178" s="185"/>
      <c r="AN178" s="185"/>
      <c r="AO178" s="209"/>
      <c r="AP178" s="185"/>
      <c r="AQ178" s="185"/>
      <c r="AR178" s="185"/>
      <c r="AS178" s="210"/>
      <c r="AT178" s="176"/>
      <c r="AU178" s="176"/>
      <c r="AV178" s="176"/>
      <c r="AW178" s="176"/>
      <c r="AX178" s="176"/>
      <c r="AY178" s="176"/>
      <c r="AZ178" s="176"/>
      <c r="BA178" s="176"/>
      <c r="BB178" s="176"/>
      <c r="BC178" s="176"/>
      <c r="BD178" s="176"/>
      <c r="BE178" s="176"/>
      <c r="BF178" s="176"/>
      <c r="BG178" s="176"/>
      <c r="BH178" s="176"/>
      <c r="BI178" s="176"/>
      <c r="BJ178" s="176"/>
      <c r="BK178" s="211"/>
      <c r="BL178" s="211"/>
    </row>
    <row r="179" spans="3:64" s="184" customFormat="1" ht="15">
      <c r="C179" s="211"/>
      <c r="G179" s="208"/>
      <c r="K179" s="248"/>
      <c r="O179" s="208"/>
      <c r="AI179" s="185"/>
      <c r="AJ179" s="185"/>
      <c r="AK179" s="185"/>
      <c r="AL179" s="185"/>
      <c r="AM179" s="185"/>
      <c r="AN179" s="185"/>
      <c r="AO179" s="209"/>
      <c r="AP179" s="185"/>
      <c r="AQ179" s="185"/>
      <c r="AR179" s="185"/>
      <c r="AS179" s="210"/>
      <c r="AT179" s="176"/>
      <c r="AU179" s="176"/>
      <c r="AV179" s="176"/>
      <c r="AW179" s="176"/>
      <c r="AX179" s="176"/>
      <c r="AY179" s="176"/>
      <c r="AZ179" s="176"/>
      <c r="BA179" s="176"/>
      <c r="BB179" s="176"/>
      <c r="BC179" s="176"/>
      <c r="BD179" s="176"/>
      <c r="BE179" s="176"/>
      <c r="BF179" s="176"/>
      <c r="BG179" s="176"/>
      <c r="BH179" s="176"/>
      <c r="BI179" s="176"/>
      <c r="BJ179" s="176"/>
      <c r="BK179" s="211"/>
      <c r="BL179" s="211"/>
    </row>
    <row r="180" spans="3:64" s="184" customFormat="1" ht="15">
      <c r="C180" s="211"/>
      <c r="G180" s="208"/>
      <c r="K180" s="248"/>
      <c r="O180" s="208"/>
      <c r="AI180" s="185"/>
      <c r="AJ180" s="185"/>
      <c r="AK180" s="185"/>
      <c r="AL180" s="185"/>
      <c r="AM180" s="185"/>
      <c r="AN180" s="185"/>
      <c r="AO180" s="209"/>
      <c r="AP180" s="185"/>
      <c r="AQ180" s="185"/>
      <c r="AR180" s="185"/>
      <c r="AS180" s="210"/>
      <c r="AT180" s="176"/>
      <c r="AU180" s="176"/>
      <c r="AV180" s="176"/>
      <c r="AW180" s="176"/>
      <c r="AX180" s="176"/>
      <c r="AY180" s="176"/>
      <c r="AZ180" s="176"/>
      <c r="BA180" s="176"/>
      <c r="BB180" s="176"/>
      <c r="BC180" s="176"/>
      <c r="BD180" s="176"/>
      <c r="BE180" s="176"/>
      <c r="BF180" s="176"/>
      <c r="BG180" s="176"/>
      <c r="BH180" s="176"/>
      <c r="BI180" s="176"/>
      <c r="BJ180" s="176"/>
      <c r="BK180" s="211"/>
      <c r="BL180" s="211"/>
    </row>
    <row r="181" spans="3:64" s="184" customFormat="1" ht="15">
      <c r="C181" s="211"/>
      <c r="G181" s="208"/>
      <c r="K181" s="248"/>
      <c r="O181" s="208"/>
      <c r="AI181" s="185"/>
      <c r="AJ181" s="185"/>
      <c r="AK181" s="185"/>
      <c r="AL181" s="185"/>
      <c r="AM181" s="185"/>
      <c r="AN181" s="185"/>
      <c r="AO181" s="209"/>
      <c r="AP181" s="185"/>
      <c r="AQ181" s="185"/>
      <c r="AR181" s="185"/>
      <c r="AS181" s="210"/>
      <c r="AT181" s="176"/>
      <c r="AU181" s="176"/>
      <c r="AV181" s="176"/>
      <c r="AW181" s="176"/>
      <c r="AX181" s="176"/>
      <c r="AY181" s="176"/>
      <c r="AZ181" s="176"/>
      <c r="BA181" s="176"/>
      <c r="BB181" s="176"/>
      <c r="BC181" s="176"/>
      <c r="BD181" s="176"/>
      <c r="BE181" s="176"/>
      <c r="BF181" s="176"/>
      <c r="BG181" s="176"/>
      <c r="BH181" s="176"/>
      <c r="BI181" s="176"/>
      <c r="BJ181" s="176"/>
      <c r="BK181" s="211"/>
      <c r="BL181" s="211"/>
    </row>
    <row r="182" spans="3:64" s="184" customFormat="1" ht="15">
      <c r="C182" s="211"/>
      <c r="G182" s="208"/>
      <c r="K182" s="248"/>
      <c r="O182" s="208"/>
      <c r="AI182" s="185"/>
      <c r="AJ182" s="185"/>
      <c r="AK182" s="185"/>
      <c r="AL182" s="185"/>
      <c r="AM182" s="185"/>
      <c r="AN182" s="185"/>
      <c r="AO182" s="209"/>
      <c r="AP182" s="185"/>
      <c r="AQ182" s="185"/>
      <c r="AR182" s="185"/>
      <c r="AS182" s="210"/>
      <c r="AT182" s="176"/>
      <c r="AU182" s="176"/>
      <c r="AV182" s="176"/>
      <c r="AW182" s="176"/>
      <c r="AX182" s="176"/>
      <c r="AY182" s="176"/>
      <c r="AZ182" s="176"/>
      <c r="BA182" s="176"/>
      <c r="BB182" s="176"/>
      <c r="BC182" s="176"/>
      <c r="BD182" s="176"/>
      <c r="BE182" s="176"/>
      <c r="BF182" s="176"/>
      <c r="BG182" s="176"/>
      <c r="BH182" s="176"/>
      <c r="BI182" s="176"/>
      <c r="BJ182" s="176"/>
      <c r="BK182" s="211"/>
      <c r="BL182" s="211"/>
    </row>
    <row r="183" spans="3:64" s="184" customFormat="1" ht="15">
      <c r="C183" s="211"/>
      <c r="G183" s="208"/>
      <c r="K183" s="248"/>
      <c r="O183" s="208"/>
      <c r="AI183" s="185"/>
      <c r="AJ183" s="185"/>
      <c r="AK183" s="185"/>
      <c r="AL183" s="185"/>
      <c r="AM183" s="185"/>
      <c r="AN183" s="185"/>
      <c r="AO183" s="209"/>
      <c r="AP183" s="185"/>
      <c r="AQ183" s="185"/>
      <c r="AR183" s="185"/>
      <c r="AS183" s="210"/>
      <c r="AT183" s="176"/>
      <c r="AU183" s="176"/>
      <c r="AV183" s="176"/>
      <c r="AW183" s="176"/>
      <c r="AX183" s="176"/>
      <c r="AY183" s="176"/>
      <c r="AZ183" s="176"/>
      <c r="BA183" s="176"/>
      <c r="BB183" s="176"/>
      <c r="BC183" s="176"/>
      <c r="BD183" s="176"/>
      <c r="BE183" s="176"/>
      <c r="BF183" s="176"/>
      <c r="BG183" s="176"/>
      <c r="BH183" s="176"/>
      <c r="BI183" s="176"/>
      <c r="BJ183" s="176"/>
      <c r="BK183" s="211"/>
      <c r="BL183" s="211"/>
    </row>
    <row r="184" spans="3:64" s="184" customFormat="1" ht="15">
      <c r="C184" s="211"/>
      <c r="G184" s="208"/>
      <c r="K184" s="248"/>
      <c r="O184" s="208"/>
      <c r="AI184" s="185"/>
      <c r="AJ184" s="185"/>
      <c r="AK184" s="185"/>
      <c r="AL184" s="185"/>
      <c r="AM184" s="185"/>
      <c r="AN184" s="185"/>
      <c r="AO184" s="209"/>
      <c r="AP184" s="185"/>
      <c r="AQ184" s="185"/>
      <c r="AR184" s="185"/>
      <c r="AS184" s="210"/>
      <c r="AT184" s="176"/>
      <c r="AU184" s="176"/>
      <c r="AV184" s="176"/>
      <c r="AW184" s="176"/>
      <c r="AX184" s="176"/>
      <c r="AY184" s="176"/>
      <c r="AZ184" s="176"/>
      <c r="BA184" s="176"/>
      <c r="BB184" s="176"/>
      <c r="BC184" s="176"/>
      <c r="BD184" s="176"/>
      <c r="BE184" s="176"/>
      <c r="BF184" s="176"/>
      <c r="BG184" s="176"/>
      <c r="BH184" s="176"/>
      <c r="BI184" s="176"/>
      <c r="BJ184" s="176"/>
      <c r="BK184" s="211"/>
      <c r="BL184" s="211"/>
    </row>
    <row r="185" spans="3:64" s="184" customFormat="1" ht="15">
      <c r="C185" s="211"/>
      <c r="G185" s="208"/>
      <c r="K185" s="248"/>
      <c r="O185" s="208"/>
      <c r="AI185" s="185"/>
      <c r="AJ185" s="185"/>
      <c r="AK185" s="185"/>
      <c r="AL185" s="185"/>
      <c r="AM185" s="185"/>
      <c r="AN185" s="185"/>
      <c r="AO185" s="209"/>
      <c r="AP185" s="185"/>
      <c r="AQ185" s="185"/>
      <c r="AR185" s="185"/>
      <c r="AS185" s="210"/>
      <c r="AT185" s="176"/>
      <c r="AU185" s="176"/>
      <c r="AV185" s="176"/>
      <c r="AW185" s="176"/>
      <c r="AX185" s="176"/>
      <c r="AY185" s="176"/>
      <c r="AZ185" s="176"/>
      <c r="BA185" s="176"/>
      <c r="BB185" s="176"/>
      <c r="BC185" s="176"/>
      <c r="BD185" s="176"/>
      <c r="BE185" s="176"/>
      <c r="BF185" s="176"/>
      <c r="BG185" s="176"/>
      <c r="BH185" s="176"/>
      <c r="BI185" s="176"/>
      <c r="BJ185" s="176"/>
      <c r="BK185" s="211"/>
      <c r="BL185" s="211"/>
    </row>
    <row r="186" spans="3:64" s="184" customFormat="1" ht="15">
      <c r="C186" s="211"/>
      <c r="G186" s="208"/>
      <c r="K186" s="248"/>
      <c r="O186" s="208"/>
      <c r="AI186" s="185"/>
      <c r="AJ186" s="185"/>
      <c r="AK186" s="185"/>
      <c r="AL186" s="185"/>
      <c r="AM186" s="185"/>
      <c r="AN186" s="185"/>
      <c r="AO186" s="209"/>
      <c r="AP186" s="185"/>
      <c r="AQ186" s="185"/>
      <c r="AR186" s="185"/>
      <c r="AS186" s="210"/>
      <c r="AT186" s="176"/>
      <c r="AU186" s="176"/>
      <c r="AV186" s="176"/>
      <c r="AW186" s="176"/>
      <c r="AX186" s="176"/>
      <c r="AY186" s="176"/>
      <c r="AZ186" s="176"/>
      <c r="BA186" s="176"/>
      <c r="BB186" s="176"/>
      <c r="BC186" s="176"/>
      <c r="BD186" s="176"/>
      <c r="BE186" s="176"/>
      <c r="BF186" s="176"/>
      <c r="BG186" s="176"/>
      <c r="BH186" s="176"/>
      <c r="BI186" s="176"/>
      <c r="BJ186" s="176"/>
      <c r="BK186" s="211"/>
      <c r="BL186" s="211"/>
    </row>
    <row r="187" spans="3:64" s="184" customFormat="1" ht="15">
      <c r="C187" s="211"/>
      <c r="G187" s="208"/>
      <c r="K187" s="248"/>
      <c r="O187" s="208"/>
      <c r="AI187" s="185"/>
      <c r="AJ187" s="185"/>
      <c r="AK187" s="185"/>
      <c r="AL187" s="185"/>
      <c r="AM187" s="185"/>
      <c r="AN187" s="185"/>
      <c r="AO187" s="209"/>
      <c r="AP187" s="185"/>
      <c r="AQ187" s="185"/>
      <c r="AR187" s="185"/>
      <c r="AS187" s="210"/>
      <c r="AT187" s="176"/>
      <c r="AU187" s="176"/>
      <c r="AV187" s="176"/>
      <c r="AW187" s="176"/>
      <c r="AX187" s="176"/>
      <c r="AY187" s="176"/>
      <c r="AZ187" s="176"/>
      <c r="BA187" s="176"/>
      <c r="BB187" s="176"/>
      <c r="BC187" s="176"/>
      <c r="BD187" s="176"/>
      <c r="BE187" s="176"/>
      <c r="BF187" s="176"/>
      <c r="BG187" s="176"/>
      <c r="BH187" s="176"/>
      <c r="BI187" s="176"/>
      <c r="BJ187" s="176"/>
      <c r="BK187" s="211"/>
      <c r="BL187" s="211"/>
    </row>
    <row r="188" spans="3:64" s="184" customFormat="1" ht="15">
      <c r="C188" s="211"/>
      <c r="G188" s="208"/>
      <c r="K188" s="248"/>
      <c r="O188" s="208"/>
      <c r="AI188" s="185"/>
      <c r="AJ188" s="185"/>
      <c r="AK188" s="185"/>
      <c r="AL188" s="185"/>
      <c r="AM188" s="185"/>
      <c r="AN188" s="185"/>
      <c r="AO188" s="209"/>
      <c r="AP188" s="185"/>
      <c r="AQ188" s="185"/>
      <c r="AR188" s="185"/>
      <c r="AS188" s="210"/>
      <c r="AT188" s="176"/>
      <c r="AU188" s="176"/>
      <c r="AV188" s="176"/>
      <c r="AW188" s="176"/>
      <c r="AX188" s="176"/>
      <c r="AY188" s="176"/>
      <c r="AZ188" s="176"/>
      <c r="BA188" s="176"/>
      <c r="BB188" s="176"/>
      <c r="BC188" s="176"/>
      <c r="BD188" s="176"/>
      <c r="BE188" s="176"/>
      <c r="BF188" s="176"/>
      <c r="BG188" s="176"/>
      <c r="BH188" s="176"/>
      <c r="BI188" s="176"/>
      <c r="BJ188" s="176"/>
      <c r="BK188" s="211"/>
      <c r="BL188" s="211"/>
    </row>
    <row r="189" spans="3:64" s="184" customFormat="1" ht="15">
      <c r="C189" s="211"/>
      <c r="G189" s="208"/>
      <c r="K189" s="248"/>
      <c r="O189" s="208"/>
      <c r="AI189" s="185"/>
      <c r="AJ189" s="185"/>
      <c r="AK189" s="185"/>
      <c r="AL189" s="185"/>
      <c r="AM189" s="185"/>
      <c r="AN189" s="185"/>
      <c r="AO189" s="209"/>
      <c r="AP189" s="185"/>
      <c r="AQ189" s="185"/>
      <c r="AR189" s="185"/>
      <c r="AS189" s="210"/>
      <c r="AT189" s="176"/>
      <c r="AU189" s="176"/>
      <c r="AV189" s="176"/>
      <c r="AW189" s="176"/>
      <c r="AX189" s="176"/>
      <c r="AY189" s="176"/>
      <c r="AZ189" s="176"/>
      <c r="BA189" s="176"/>
      <c r="BB189" s="176"/>
      <c r="BC189" s="176"/>
      <c r="BD189" s="176"/>
      <c r="BE189" s="176"/>
      <c r="BF189" s="176"/>
      <c r="BG189" s="176"/>
      <c r="BH189" s="176"/>
      <c r="BI189" s="176"/>
      <c r="BJ189" s="176"/>
      <c r="BK189" s="211"/>
      <c r="BL189" s="211"/>
    </row>
    <row r="190" spans="3:64" s="184" customFormat="1" ht="15">
      <c r="C190" s="211"/>
      <c r="G190" s="208"/>
      <c r="K190" s="248"/>
      <c r="O190" s="208"/>
      <c r="AI190" s="185"/>
      <c r="AJ190" s="185"/>
      <c r="AK190" s="185"/>
      <c r="AL190" s="185"/>
      <c r="AM190" s="185"/>
      <c r="AN190" s="185"/>
      <c r="AO190" s="209"/>
      <c r="AP190" s="185"/>
      <c r="AQ190" s="185"/>
      <c r="AR190" s="185"/>
      <c r="AS190" s="210"/>
      <c r="AT190" s="176"/>
      <c r="AU190" s="176"/>
      <c r="AV190" s="176"/>
      <c r="AW190" s="176"/>
      <c r="AX190" s="176"/>
      <c r="AY190" s="176"/>
      <c r="AZ190" s="176"/>
      <c r="BA190" s="176"/>
      <c r="BB190" s="176"/>
      <c r="BC190" s="176"/>
      <c r="BD190" s="176"/>
      <c r="BE190" s="176"/>
      <c r="BF190" s="176"/>
      <c r="BG190" s="176"/>
      <c r="BH190" s="176"/>
      <c r="BI190" s="176"/>
      <c r="BJ190" s="176"/>
      <c r="BK190" s="211"/>
      <c r="BL190" s="211"/>
    </row>
    <row r="191" spans="3:64" s="184" customFormat="1" ht="15">
      <c r="C191" s="211"/>
      <c r="G191" s="208"/>
      <c r="K191" s="248"/>
      <c r="O191" s="208"/>
      <c r="AI191" s="185"/>
      <c r="AJ191" s="185"/>
      <c r="AK191" s="185"/>
      <c r="AL191" s="185"/>
      <c r="AM191" s="185"/>
      <c r="AN191" s="185"/>
      <c r="AO191" s="209"/>
      <c r="AP191" s="185"/>
      <c r="AQ191" s="185"/>
      <c r="AR191" s="185"/>
      <c r="AS191" s="210"/>
      <c r="AT191" s="176"/>
      <c r="AU191" s="176"/>
      <c r="AV191" s="176"/>
      <c r="AW191" s="176"/>
      <c r="AX191" s="176"/>
      <c r="AY191" s="176"/>
      <c r="AZ191" s="176"/>
      <c r="BA191" s="176"/>
      <c r="BB191" s="176"/>
      <c r="BC191" s="176"/>
      <c r="BD191" s="176"/>
      <c r="BE191" s="176"/>
      <c r="BF191" s="176"/>
      <c r="BG191" s="176"/>
      <c r="BH191" s="176"/>
      <c r="BI191" s="176"/>
      <c r="BJ191" s="176"/>
      <c r="BK191" s="211"/>
      <c r="BL191" s="211"/>
    </row>
    <row r="192" spans="3:64" s="184" customFormat="1" ht="15">
      <c r="C192" s="211"/>
      <c r="G192" s="208"/>
      <c r="K192" s="248"/>
      <c r="O192" s="208"/>
      <c r="AI192" s="185"/>
      <c r="AJ192" s="185"/>
      <c r="AK192" s="185"/>
      <c r="AL192" s="185"/>
      <c r="AM192" s="185"/>
      <c r="AN192" s="185"/>
      <c r="AO192" s="209"/>
      <c r="AP192" s="185"/>
      <c r="AQ192" s="185"/>
      <c r="AR192" s="185"/>
      <c r="AS192" s="210"/>
      <c r="AT192" s="176"/>
      <c r="AU192" s="176"/>
      <c r="AV192" s="176"/>
      <c r="AW192" s="176"/>
      <c r="AX192" s="176"/>
      <c r="AY192" s="176"/>
      <c r="AZ192" s="176"/>
      <c r="BA192" s="176"/>
      <c r="BB192" s="176"/>
      <c r="BC192" s="176"/>
      <c r="BD192" s="176"/>
      <c r="BE192" s="176"/>
      <c r="BF192" s="176"/>
      <c r="BG192" s="176"/>
      <c r="BH192" s="176"/>
      <c r="BI192" s="176"/>
      <c r="BJ192" s="176"/>
      <c r="BK192" s="211"/>
      <c r="BL192" s="211"/>
    </row>
    <row r="193" spans="3:64" s="184" customFormat="1" ht="15">
      <c r="C193" s="211"/>
      <c r="G193" s="208"/>
      <c r="K193" s="248"/>
      <c r="O193" s="208"/>
      <c r="AI193" s="185"/>
      <c r="AJ193" s="185"/>
      <c r="AK193" s="185"/>
      <c r="AL193" s="185"/>
      <c r="AM193" s="185"/>
      <c r="AN193" s="185"/>
      <c r="AO193" s="209"/>
      <c r="AP193" s="185"/>
      <c r="AQ193" s="185"/>
      <c r="AR193" s="185"/>
      <c r="AS193" s="210"/>
      <c r="AT193" s="176"/>
      <c r="AU193" s="176"/>
      <c r="AV193" s="176"/>
      <c r="AW193" s="176"/>
      <c r="AX193" s="176"/>
      <c r="AY193" s="176"/>
      <c r="AZ193" s="176"/>
      <c r="BA193" s="176"/>
      <c r="BB193" s="176"/>
      <c r="BC193" s="176"/>
      <c r="BD193" s="176"/>
      <c r="BE193" s="176"/>
      <c r="BF193" s="176"/>
      <c r="BG193" s="176"/>
      <c r="BH193" s="176"/>
      <c r="BI193" s="176"/>
      <c r="BJ193" s="176"/>
      <c r="BK193" s="211"/>
      <c r="BL193" s="211"/>
    </row>
    <row r="194" spans="3:64" s="184" customFormat="1" ht="15">
      <c r="C194" s="211"/>
      <c r="G194" s="208"/>
      <c r="K194" s="248"/>
      <c r="O194" s="208"/>
      <c r="AI194" s="185"/>
      <c r="AJ194" s="185"/>
      <c r="AK194" s="185"/>
      <c r="AL194" s="185"/>
      <c r="AM194" s="185"/>
      <c r="AN194" s="185"/>
      <c r="AO194" s="209"/>
      <c r="AP194" s="185"/>
      <c r="AQ194" s="185"/>
      <c r="AR194" s="185"/>
      <c r="AS194" s="210"/>
      <c r="AT194" s="176"/>
      <c r="AU194" s="176"/>
      <c r="AV194" s="176"/>
      <c r="AW194" s="176"/>
      <c r="AX194" s="176"/>
      <c r="AY194" s="176"/>
      <c r="AZ194" s="176"/>
      <c r="BA194" s="176"/>
      <c r="BB194" s="176"/>
      <c r="BC194" s="176"/>
      <c r="BD194" s="176"/>
      <c r="BE194" s="176"/>
      <c r="BF194" s="176"/>
      <c r="BG194" s="176"/>
      <c r="BH194" s="176"/>
      <c r="BI194" s="176"/>
      <c r="BJ194" s="176"/>
      <c r="BK194" s="211"/>
      <c r="BL194" s="211"/>
    </row>
    <row r="195" spans="3:64" s="184" customFormat="1" ht="15">
      <c r="C195" s="211"/>
      <c r="G195" s="208"/>
      <c r="K195" s="248"/>
      <c r="O195" s="208"/>
      <c r="AI195" s="185"/>
      <c r="AJ195" s="185"/>
      <c r="AK195" s="185"/>
      <c r="AL195" s="185"/>
      <c r="AM195" s="185"/>
      <c r="AN195" s="185"/>
      <c r="AO195" s="209"/>
      <c r="AP195" s="185"/>
      <c r="AQ195" s="185"/>
      <c r="AR195" s="185"/>
      <c r="AS195" s="210"/>
      <c r="AT195" s="176"/>
      <c r="AU195" s="176"/>
      <c r="AV195" s="176"/>
      <c r="AW195" s="176"/>
      <c r="AX195" s="176"/>
      <c r="AY195" s="176"/>
      <c r="AZ195" s="176"/>
      <c r="BA195" s="176"/>
      <c r="BB195" s="176"/>
      <c r="BC195" s="176"/>
      <c r="BD195" s="176"/>
      <c r="BE195" s="176"/>
      <c r="BF195" s="176"/>
      <c r="BG195" s="176"/>
      <c r="BH195" s="176"/>
      <c r="BI195" s="176"/>
      <c r="BJ195" s="176"/>
      <c r="BK195" s="211"/>
      <c r="BL195" s="211"/>
    </row>
    <row r="196" spans="3:64" s="184" customFormat="1" ht="15">
      <c r="C196" s="211"/>
      <c r="G196" s="208"/>
      <c r="K196" s="248"/>
      <c r="O196" s="208"/>
      <c r="AI196" s="185"/>
      <c r="AJ196" s="185"/>
      <c r="AK196" s="185"/>
      <c r="AL196" s="185"/>
      <c r="AM196" s="185"/>
      <c r="AN196" s="185"/>
      <c r="AO196" s="209"/>
      <c r="AP196" s="185"/>
      <c r="AQ196" s="185"/>
      <c r="AR196" s="185"/>
      <c r="AS196" s="210"/>
      <c r="AT196" s="176"/>
      <c r="AU196" s="176"/>
      <c r="AV196" s="176"/>
      <c r="AW196" s="176"/>
      <c r="AX196" s="176"/>
      <c r="AY196" s="176"/>
      <c r="AZ196" s="176"/>
      <c r="BA196" s="176"/>
      <c r="BB196" s="176"/>
      <c r="BC196" s="176"/>
      <c r="BD196" s="176"/>
      <c r="BE196" s="176"/>
      <c r="BF196" s="176"/>
      <c r="BG196" s="176"/>
      <c r="BH196" s="176"/>
      <c r="BI196" s="176"/>
      <c r="BJ196" s="176"/>
      <c r="BK196" s="211"/>
      <c r="BL196" s="211"/>
    </row>
    <row r="197" spans="3:64" s="184" customFormat="1" ht="15">
      <c r="C197" s="211"/>
      <c r="G197" s="208"/>
      <c r="K197" s="248"/>
      <c r="O197" s="208"/>
      <c r="AI197" s="185"/>
      <c r="AJ197" s="185"/>
      <c r="AK197" s="185"/>
      <c r="AL197" s="185"/>
      <c r="AM197" s="185"/>
      <c r="AN197" s="185"/>
      <c r="AO197" s="209"/>
      <c r="AP197" s="185"/>
      <c r="AQ197" s="185"/>
      <c r="AR197" s="185"/>
      <c r="AS197" s="210"/>
      <c r="AT197" s="176"/>
      <c r="AU197" s="176"/>
      <c r="AV197" s="176"/>
      <c r="AW197" s="176"/>
      <c r="AX197" s="176"/>
      <c r="AY197" s="176"/>
      <c r="AZ197" s="176"/>
      <c r="BA197" s="176"/>
      <c r="BB197" s="176"/>
      <c r="BC197" s="176"/>
      <c r="BD197" s="176"/>
      <c r="BE197" s="176"/>
      <c r="BF197" s="176"/>
      <c r="BG197" s="176"/>
      <c r="BH197" s="176"/>
      <c r="BI197" s="176"/>
      <c r="BJ197" s="176"/>
      <c r="BK197" s="211"/>
      <c r="BL197" s="211"/>
    </row>
    <row r="198" spans="3:64" s="184" customFormat="1" ht="15">
      <c r="C198" s="211"/>
      <c r="G198" s="208"/>
      <c r="K198" s="248"/>
      <c r="O198" s="208"/>
      <c r="AI198" s="185"/>
      <c r="AJ198" s="185"/>
      <c r="AK198" s="185"/>
      <c r="AL198" s="185"/>
      <c r="AM198" s="185"/>
      <c r="AN198" s="185"/>
      <c r="AO198" s="209"/>
      <c r="AP198" s="185"/>
      <c r="AQ198" s="185"/>
      <c r="AR198" s="185"/>
      <c r="AS198" s="210"/>
      <c r="AT198" s="176"/>
      <c r="AU198" s="176"/>
      <c r="AV198" s="176"/>
      <c r="AW198" s="176"/>
      <c r="AX198" s="176"/>
      <c r="AY198" s="176"/>
      <c r="AZ198" s="176"/>
      <c r="BA198" s="176"/>
      <c r="BB198" s="176"/>
      <c r="BC198" s="176"/>
      <c r="BD198" s="176"/>
      <c r="BE198" s="176"/>
      <c r="BF198" s="176"/>
      <c r="BG198" s="176"/>
      <c r="BH198" s="176"/>
      <c r="BI198" s="176"/>
      <c r="BJ198" s="176"/>
      <c r="BK198" s="211"/>
      <c r="BL198" s="211"/>
    </row>
    <row r="199" spans="3:64" s="184" customFormat="1" ht="15">
      <c r="C199" s="211"/>
      <c r="G199" s="208"/>
      <c r="K199" s="248"/>
      <c r="O199" s="208"/>
      <c r="AI199" s="185"/>
      <c r="AJ199" s="185"/>
      <c r="AK199" s="185"/>
      <c r="AL199" s="185"/>
      <c r="AM199" s="185"/>
      <c r="AN199" s="185"/>
      <c r="AO199" s="209"/>
      <c r="AP199" s="185"/>
      <c r="AQ199" s="185"/>
      <c r="AR199" s="185"/>
      <c r="AS199" s="210"/>
      <c r="AT199" s="176"/>
      <c r="AU199" s="176"/>
      <c r="AV199" s="176"/>
      <c r="AW199" s="176"/>
      <c r="AX199" s="176"/>
      <c r="AY199" s="176"/>
      <c r="AZ199" s="176"/>
      <c r="BA199" s="176"/>
      <c r="BB199" s="176"/>
      <c r="BC199" s="176"/>
      <c r="BD199" s="176"/>
      <c r="BE199" s="176"/>
      <c r="BF199" s="176"/>
      <c r="BG199" s="176"/>
      <c r="BH199" s="176"/>
      <c r="BI199" s="176"/>
      <c r="BJ199" s="176"/>
      <c r="BK199" s="211"/>
      <c r="BL199" s="211"/>
    </row>
    <row r="200" spans="3:64" s="184" customFormat="1" ht="15">
      <c r="C200" s="211"/>
      <c r="G200" s="208"/>
      <c r="K200" s="248"/>
      <c r="O200" s="208"/>
      <c r="AI200" s="185"/>
      <c r="AJ200" s="185"/>
      <c r="AK200" s="185"/>
      <c r="AL200" s="185"/>
      <c r="AM200" s="185"/>
      <c r="AN200" s="185"/>
      <c r="AO200" s="209"/>
      <c r="AP200" s="185"/>
      <c r="AQ200" s="185"/>
      <c r="AR200" s="185"/>
      <c r="AS200" s="210"/>
      <c r="AT200" s="176"/>
      <c r="AU200" s="176"/>
      <c r="AV200" s="176"/>
      <c r="AW200" s="176"/>
      <c r="AX200" s="176"/>
      <c r="AY200" s="176"/>
      <c r="AZ200" s="176"/>
      <c r="BA200" s="176"/>
      <c r="BB200" s="176"/>
      <c r="BC200" s="176"/>
      <c r="BD200" s="176"/>
      <c r="BE200" s="176"/>
      <c r="BF200" s="176"/>
      <c r="BG200" s="176"/>
      <c r="BH200" s="176"/>
      <c r="BI200" s="176"/>
      <c r="BJ200" s="176"/>
      <c r="BK200" s="211"/>
      <c r="BL200" s="211"/>
    </row>
    <row r="201" spans="3:64" s="184" customFormat="1" ht="15">
      <c r="C201" s="211"/>
      <c r="G201" s="208"/>
      <c r="K201" s="248"/>
      <c r="O201" s="208"/>
      <c r="AI201" s="185"/>
      <c r="AJ201" s="185"/>
      <c r="AK201" s="185"/>
      <c r="AL201" s="185"/>
      <c r="AM201" s="185"/>
      <c r="AN201" s="185"/>
      <c r="AO201" s="209"/>
      <c r="AP201" s="185"/>
      <c r="AQ201" s="185"/>
      <c r="AR201" s="185"/>
      <c r="AS201" s="210"/>
      <c r="AT201" s="176"/>
      <c r="AU201" s="176"/>
      <c r="AV201" s="176"/>
      <c r="AW201" s="176"/>
      <c r="AX201" s="176"/>
      <c r="AY201" s="176"/>
      <c r="AZ201" s="176"/>
      <c r="BA201" s="176"/>
      <c r="BB201" s="176"/>
      <c r="BC201" s="176"/>
      <c r="BD201" s="176"/>
      <c r="BE201" s="176"/>
      <c r="BF201" s="176"/>
      <c r="BG201" s="176"/>
      <c r="BH201" s="176"/>
      <c r="BI201" s="176"/>
      <c r="BJ201" s="176"/>
      <c r="BK201" s="211"/>
      <c r="BL201" s="211"/>
    </row>
    <row r="202" spans="3:64" s="184" customFormat="1" ht="15">
      <c r="C202" s="211"/>
      <c r="G202" s="208"/>
      <c r="K202" s="248"/>
      <c r="O202" s="208"/>
      <c r="AI202" s="185"/>
      <c r="AJ202" s="185"/>
      <c r="AK202" s="185"/>
      <c r="AL202" s="185"/>
      <c r="AM202" s="185"/>
      <c r="AN202" s="185"/>
      <c r="AO202" s="209"/>
      <c r="AP202" s="185"/>
      <c r="AQ202" s="185"/>
      <c r="AR202" s="185"/>
      <c r="AS202" s="210"/>
      <c r="AT202" s="176"/>
      <c r="AU202" s="176"/>
      <c r="AV202" s="176"/>
      <c r="AW202" s="176"/>
      <c r="AX202" s="176"/>
      <c r="AY202" s="176"/>
      <c r="AZ202" s="176"/>
      <c r="BA202" s="176"/>
      <c r="BB202" s="176"/>
      <c r="BC202" s="176"/>
      <c r="BD202" s="176"/>
      <c r="BE202" s="176"/>
      <c r="BF202" s="176"/>
      <c r="BG202" s="176"/>
      <c r="BH202" s="176"/>
      <c r="BI202" s="176"/>
      <c r="BJ202" s="176"/>
      <c r="BK202" s="211"/>
      <c r="BL202" s="211"/>
    </row>
    <row r="203" spans="3:64" s="184" customFormat="1" ht="15">
      <c r="C203" s="211"/>
      <c r="G203" s="208"/>
      <c r="K203" s="248"/>
      <c r="O203" s="208"/>
      <c r="AI203" s="185"/>
      <c r="AJ203" s="185"/>
      <c r="AK203" s="185"/>
      <c r="AL203" s="185"/>
      <c r="AM203" s="185"/>
      <c r="AN203" s="185"/>
      <c r="AO203" s="209"/>
      <c r="AP203" s="185"/>
      <c r="AQ203" s="185"/>
      <c r="AR203" s="185"/>
      <c r="AS203" s="210"/>
      <c r="AT203" s="176"/>
      <c r="AU203" s="176"/>
      <c r="AV203" s="176"/>
      <c r="AW203" s="176"/>
      <c r="AX203" s="176"/>
      <c r="AY203" s="176"/>
      <c r="AZ203" s="176"/>
      <c r="BA203" s="176"/>
      <c r="BB203" s="176"/>
      <c r="BC203" s="176"/>
      <c r="BD203" s="176"/>
      <c r="BE203" s="176"/>
      <c r="BF203" s="176"/>
      <c r="BG203" s="176"/>
      <c r="BH203" s="176"/>
      <c r="BI203" s="176"/>
      <c r="BJ203" s="176"/>
      <c r="BK203" s="211"/>
      <c r="BL203" s="211"/>
    </row>
    <row r="204" spans="3:64" s="184" customFormat="1" ht="15">
      <c r="C204" s="211"/>
      <c r="G204" s="208"/>
      <c r="K204" s="248"/>
      <c r="O204" s="208"/>
      <c r="AI204" s="185"/>
      <c r="AJ204" s="185"/>
      <c r="AK204" s="185"/>
      <c r="AL204" s="185"/>
      <c r="AM204" s="185"/>
      <c r="AN204" s="185"/>
      <c r="AO204" s="209"/>
      <c r="AP204" s="185"/>
      <c r="AQ204" s="185"/>
      <c r="AR204" s="185"/>
      <c r="AS204" s="210"/>
      <c r="AT204" s="176"/>
      <c r="AU204" s="176"/>
      <c r="AV204" s="176"/>
      <c r="AW204" s="176"/>
      <c r="AX204" s="176"/>
      <c r="AY204" s="176"/>
      <c r="AZ204" s="176"/>
      <c r="BA204" s="176"/>
      <c r="BB204" s="176"/>
      <c r="BC204" s="176"/>
      <c r="BD204" s="176"/>
      <c r="BE204" s="176"/>
      <c r="BF204" s="176"/>
      <c r="BG204" s="176"/>
      <c r="BH204" s="176"/>
      <c r="BI204" s="176"/>
      <c r="BJ204" s="176"/>
      <c r="BK204" s="211"/>
      <c r="BL204" s="211"/>
    </row>
    <row r="205" spans="3:64" s="184" customFormat="1" ht="15">
      <c r="C205" s="211"/>
      <c r="G205" s="208"/>
      <c r="K205" s="248"/>
      <c r="O205" s="208"/>
      <c r="AI205" s="185"/>
      <c r="AJ205" s="185"/>
      <c r="AK205" s="185"/>
      <c r="AL205" s="185"/>
      <c r="AM205" s="185"/>
      <c r="AN205" s="185"/>
      <c r="AO205" s="209"/>
      <c r="AP205" s="185"/>
      <c r="AQ205" s="185"/>
      <c r="AR205" s="185"/>
      <c r="AS205" s="210"/>
      <c r="AT205" s="176"/>
      <c r="AU205" s="176"/>
      <c r="AV205" s="176"/>
      <c r="AW205" s="176"/>
      <c r="AX205" s="176"/>
      <c r="AY205" s="176"/>
      <c r="AZ205" s="176"/>
      <c r="BA205" s="176"/>
      <c r="BB205" s="176"/>
      <c r="BC205" s="176"/>
      <c r="BD205" s="176"/>
      <c r="BE205" s="176"/>
      <c r="BF205" s="176"/>
      <c r="BG205" s="176"/>
      <c r="BH205" s="176"/>
      <c r="BI205" s="176"/>
      <c r="BJ205" s="176"/>
      <c r="BK205" s="211"/>
      <c r="BL205" s="211"/>
    </row>
    <row r="206" spans="3:64" s="184" customFormat="1" ht="15">
      <c r="C206" s="211"/>
      <c r="G206" s="208"/>
      <c r="K206" s="248"/>
      <c r="O206" s="208"/>
      <c r="AI206" s="185"/>
      <c r="AJ206" s="185"/>
      <c r="AK206" s="185"/>
      <c r="AL206" s="185"/>
      <c r="AM206" s="185"/>
      <c r="AN206" s="185"/>
      <c r="AO206" s="209"/>
      <c r="AP206" s="185"/>
      <c r="AQ206" s="185"/>
      <c r="AR206" s="185"/>
      <c r="AS206" s="210"/>
      <c r="AT206" s="176"/>
      <c r="AU206" s="176"/>
      <c r="AV206" s="176"/>
      <c r="AW206" s="176"/>
      <c r="AX206" s="176"/>
      <c r="AY206" s="176"/>
      <c r="AZ206" s="176"/>
      <c r="BA206" s="176"/>
      <c r="BB206" s="176"/>
      <c r="BC206" s="176"/>
      <c r="BD206" s="176"/>
      <c r="BE206" s="176"/>
      <c r="BF206" s="176"/>
      <c r="BG206" s="176"/>
      <c r="BH206" s="176"/>
      <c r="BI206" s="176"/>
      <c r="BJ206" s="176"/>
      <c r="BK206" s="211"/>
      <c r="BL206" s="211"/>
    </row>
    <row r="207" spans="3:64" s="184" customFormat="1" ht="15">
      <c r="C207" s="211"/>
      <c r="G207" s="208"/>
      <c r="K207" s="248"/>
      <c r="O207" s="208"/>
      <c r="AI207" s="185"/>
      <c r="AJ207" s="185"/>
      <c r="AK207" s="185"/>
      <c r="AL207" s="185"/>
      <c r="AM207" s="185"/>
      <c r="AN207" s="185"/>
      <c r="AO207" s="209"/>
      <c r="AP207" s="185"/>
      <c r="AQ207" s="185"/>
      <c r="AR207" s="185"/>
      <c r="AS207" s="210"/>
      <c r="AT207" s="176"/>
      <c r="AU207" s="176"/>
      <c r="AV207" s="176"/>
      <c r="AW207" s="176"/>
      <c r="AX207" s="176"/>
      <c r="AY207" s="176"/>
      <c r="AZ207" s="176"/>
      <c r="BA207" s="176"/>
      <c r="BB207" s="176"/>
      <c r="BC207" s="176"/>
      <c r="BD207" s="176"/>
      <c r="BE207" s="176"/>
      <c r="BF207" s="176"/>
      <c r="BG207" s="176"/>
      <c r="BH207" s="176"/>
      <c r="BI207" s="176"/>
      <c r="BJ207" s="176"/>
      <c r="BK207" s="211"/>
      <c r="BL207" s="211"/>
    </row>
    <row r="208" spans="3:64" s="184" customFormat="1" ht="15">
      <c r="C208" s="211"/>
      <c r="G208" s="208"/>
      <c r="K208" s="248"/>
      <c r="O208" s="208"/>
      <c r="AI208" s="185"/>
      <c r="AJ208" s="185"/>
      <c r="AK208" s="185"/>
      <c r="AL208" s="185"/>
      <c r="AM208" s="185"/>
      <c r="AN208" s="185"/>
      <c r="AO208" s="209"/>
      <c r="AP208" s="185"/>
      <c r="AQ208" s="185"/>
      <c r="AR208" s="185"/>
      <c r="AS208" s="210"/>
      <c r="AT208" s="176"/>
      <c r="AU208" s="176"/>
      <c r="AV208" s="176"/>
      <c r="AW208" s="176"/>
      <c r="AX208" s="176"/>
      <c r="AY208" s="176"/>
      <c r="AZ208" s="176"/>
      <c r="BA208" s="176"/>
      <c r="BB208" s="176"/>
      <c r="BC208" s="176"/>
      <c r="BD208" s="176"/>
      <c r="BE208" s="176"/>
      <c r="BF208" s="176"/>
      <c r="BG208" s="176"/>
      <c r="BH208" s="176"/>
      <c r="BI208" s="176"/>
      <c r="BJ208" s="176"/>
      <c r="BK208" s="211"/>
      <c r="BL208" s="211"/>
    </row>
    <row r="209" spans="3:64" s="184" customFormat="1" ht="15">
      <c r="C209" s="211"/>
      <c r="G209" s="208"/>
      <c r="K209" s="248"/>
      <c r="O209" s="208"/>
      <c r="AI209" s="185"/>
      <c r="AJ209" s="185"/>
      <c r="AK209" s="185"/>
      <c r="AL209" s="185"/>
      <c r="AM209" s="185"/>
      <c r="AN209" s="185"/>
      <c r="AO209" s="209"/>
      <c r="AP209" s="185"/>
      <c r="AQ209" s="185"/>
      <c r="AR209" s="185"/>
      <c r="AS209" s="210"/>
      <c r="AT209" s="176"/>
      <c r="AU209" s="176"/>
      <c r="AV209" s="176"/>
      <c r="AW209" s="176"/>
      <c r="AX209" s="176"/>
      <c r="AY209" s="176"/>
      <c r="AZ209" s="176"/>
      <c r="BA209" s="176"/>
      <c r="BB209" s="176"/>
      <c r="BC209" s="176"/>
      <c r="BD209" s="176"/>
      <c r="BE209" s="176"/>
      <c r="BF209" s="176"/>
      <c r="BG209" s="176"/>
      <c r="BH209" s="176"/>
      <c r="BI209" s="176"/>
      <c r="BJ209" s="176"/>
      <c r="BK209" s="211"/>
      <c r="BL209" s="211"/>
    </row>
    <row r="210" spans="3:64" s="184" customFormat="1" ht="15">
      <c r="C210" s="211"/>
      <c r="G210" s="208"/>
      <c r="K210" s="248"/>
      <c r="O210" s="208"/>
      <c r="AI210" s="185"/>
      <c r="AJ210" s="185"/>
      <c r="AK210" s="185"/>
      <c r="AL210" s="185"/>
      <c r="AM210" s="185"/>
      <c r="AN210" s="185"/>
      <c r="AO210" s="209"/>
      <c r="AP210" s="185"/>
      <c r="AQ210" s="185"/>
      <c r="AR210" s="185"/>
      <c r="AS210" s="210"/>
      <c r="AT210" s="176"/>
      <c r="AU210" s="176"/>
      <c r="AV210" s="176"/>
      <c r="AW210" s="176"/>
      <c r="AX210" s="176"/>
      <c r="AY210" s="176"/>
      <c r="AZ210" s="176"/>
      <c r="BA210" s="176"/>
      <c r="BB210" s="176"/>
      <c r="BC210" s="176"/>
      <c r="BD210" s="176"/>
      <c r="BE210" s="176"/>
      <c r="BF210" s="176"/>
      <c r="BG210" s="176"/>
      <c r="BH210" s="176"/>
      <c r="BI210" s="176"/>
      <c r="BJ210" s="176"/>
      <c r="BK210" s="211"/>
      <c r="BL210" s="211"/>
    </row>
    <row r="211" spans="3:64" s="184" customFormat="1" ht="15">
      <c r="C211" s="211"/>
      <c r="G211" s="208"/>
      <c r="K211" s="248"/>
      <c r="O211" s="208"/>
      <c r="AI211" s="185"/>
      <c r="AJ211" s="185"/>
      <c r="AK211" s="185"/>
      <c r="AL211" s="185"/>
      <c r="AM211" s="185"/>
      <c r="AN211" s="185"/>
      <c r="AO211" s="209"/>
      <c r="AP211" s="185"/>
      <c r="AQ211" s="185"/>
      <c r="AR211" s="185"/>
      <c r="AS211" s="210"/>
      <c r="AT211" s="176"/>
      <c r="AU211" s="176"/>
      <c r="AV211" s="176"/>
      <c r="AW211" s="176"/>
      <c r="AX211" s="176"/>
      <c r="AY211" s="176"/>
      <c r="AZ211" s="176"/>
      <c r="BA211" s="176"/>
      <c r="BB211" s="176"/>
      <c r="BC211" s="176"/>
      <c r="BD211" s="176"/>
      <c r="BE211" s="176"/>
      <c r="BF211" s="176"/>
      <c r="BG211" s="176"/>
      <c r="BH211" s="176"/>
      <c r="BI211" s="176"/>
      <c r="BJ211" s="176"/>
      <c r="BK211" s="211"/>
      <c r="BL211" s="211"/>
    </row>
    <row r="212" spans="3:64" s="184" customFormat="1" ht="15">
      <c r="C212" s="211"/>
      <c r="G212" s="208"/>
      <c r="K212" s="248"/>
      <c r="O212" s="208"/>
      <c r="AI212" s="185"/>
      <c r="AJ212" s="185"/>
      <c r="AK212" s="185"/>
      <c r="AL212" s="185"/>
      <c r="AM212" s="185"/>
      <c r="AN212" s="185"/>
      <c r="AO212" s="209"/>
      <c r="AP212" s="185"/>
      <c r="AQ212" s="185"/>
      <c r="AR212" s="185"/>
      <c r="AS212" s="210"/>
      <c r="AT212" s="176"/>
      <c r="AU212" s="176"/>
      <c r="AV212" s="176"/>
      <c r="AW212" s="176"/>
      <c r="AX212" s="176"/>
      <c r="AY212" s="176"/>
      <c r="AZ212" s="176"/>
      <c r="BA212" s="176"/>
      <c r="BB212" s="176"/>
      <c r="BC212" s="176"/>
      <c r="BD212" s="176"/>
      <c r="BE212" s="176"/>
      <c r="BF212" s="176"/>
      <c r="BG212" s="176"/>
      <c r="BH212" s="176"/>
      <c r="BI212" s="176"/>
      <c r="BJ212" s="176"/>
      <c r="BK212" s="211"/>
      <c r="BL212" s="211"/>
    </row>
    <row r="213" spans="3:64" s="184" customFormat="1" ht="15">
      <c r="C213" s="211"/>
      <c r="G213" s="208"/>
      <c r="K213" s="248"/>
      <c r="O213" s="208"/>
      <c r="AI213" s="185"/>
      <c r="AJ213" s="185"/>
      <c r="AK213" s="185"/>
      <c r="AL213" s="185"/>
      <c r="AM213" s="185"/>
      <c r="AN213" s="185"/>
      <c r="AO213" s="209"/>
      <c r="AP213" s="185"/>
      <c r="AQ213" s="185"/>
      <c r="AR213" s="185"/>
      <c r="AS213" s="210"/>
      <c r="AT213" s="176"/>
      <c r="AU213" s="176"/>
      <c r="AV213" s="176"/>
      <c r="AW213" s="176"/>
      <c r="AX213" s="176"/>
      <c r="AY213" s="176"/>
      <c r="AZ213" s="176"/>
      <c r="BA213" s="176"/>
      <c r="BB213" s="176"/>
      <c r="BC213" s="176"/>
      <c r="BD213" s="176"/>
      <c r="BE213" s="176"/>
      <c r="BF213" s="176"/>
      <c r="BG213" s="176"/>
      <c r="BH213" s="176"/>
      <c r="BI213" s="176"/>
      <c r="BJ213" s="176"/>
      <c r="BK213" s="211"/>
      <c r="BL213" s="211"/>
    </row>
    <row r="214" spans="3:64" s="184" customFormat="1" ht="15">
      <c r="C214" s="211"/>
      <c r="G214" s="208"/>
      <c r="K214" s="248"/>
      <c r="O214" s="208"/>
      <c r="AI214" s="185"/>
      <c r="AJ214" s="185"/>
      <c r="AK214" s="185"/>
      <c r="AL214" s="185"/>
      <c r="AM214" s="185"/>
      <c r="AN214" s="185"/>
      <c r="AO214" s="209"/>
      <c r="AP214" s="185"/>
      <c r="AQ214" s="185"/>
      <c r="AR214" s="185"/>
      <c r="AS214" s="210"/>
      <c r="AT214" s="176"/>
      <c r="AU214" s="176"/>
      <c r="AV214" s="176"/>
      <c r="AW214" s="176"/>
      <c r="AX214" s="176"/>
      <c r="AY214" s="176"/>
      <c r="AZ214" s="176"/>
      <c r="BA214" s="176"/>
      <c r="BB214" s="176"/>
      <c r="BC214" s="176"/>
      <c r="BD214" s="176"/>
      <c r="BE214" s="176"/>
      <c r="BF214" s="176"/>
      <c r="BG214" s="176"/>
      <c r="BH214" s="176"/>
      <c r="BI214" s="176"/>
      <c r="BJ214" s="176"/>
      <c r="BK214" s="211"/>
      <c r="BL214" s="211"/>
    </row>
    <row r="215" spans="3:64" s="184" customFormat="1" ht="15">
      <c r="C215" s="211"/>
      <c r="G215" s="208"/>
      <c r="K215" s="248"/>
      <c r="O215" s="208"/>
      <c r="AI215" s="185"/>
      <c r="AJ215" s="185"/>
      <c r="AK215" s="185"/>
      <c r="AL215" s="185"/>
      <c r="AM215" s="185"/>
      <c r="AN215" s="185"/>
      <c r="AO215" s="209"/>
      <c r="AP215" s="185"/>
      <c r="AQ215" s="185"/>
      <c r="AR215" s="185"/>
      <c r="AS215" s="210"/>
      <c r="AT215" s="176"/>
      <c r="AU215" s="176"/>
      <c r="AV215" s="176"/>
      <c r="AW215" s="176"/>
      <c r="AX215" s="176"/>
      <c r="AY215" s="176"/>
      <c r="AZ215" s="176"/>
      <c r="BA215" s="176"/>
      <c r="BB215" s="176"/>
      <c r="BC215" s="176"/>
      <c r="BD215" s="176"/>
      <c r="BE215" s="176"/>
      <c r="BF215" s="176"/>
      <c r="BG215" s="176"/>
      <c r="BH215" s="176"/>
      <c r="BI215" s="176"/>
      <c r="BJ215" s="176"/>
      <c r="BK215" s="211"/>
      <c r="BL215" s="211"/>
    </row>
    <row r="216" spans="3:64" s="184" customFormat="1" ht="15">
      <c r="C216" s="211"/>
      <c r="G216" s="208"/>
      <c r="K216" s="248"/>
      <c r="O216" s="208"/>
      <c r="AI216" s="185"/>
      <c r="AJ216" s="185"/>
      <c r="AK216" s="185"/>
      <c r="AL216" s="185"/>
      <c r="AM216" s="185"/>
      <c r="AN216" s="185"/>
      <c r="AO216" s="209"/>
      <c r="AP216" s="185"/>
      <c r="AQ216" s="185"/>
      <c r="AR216" s="185"/>
      <c r="AS216" s="210"/>
      <c r="AT216" s="176"/>
      <c r="AU216" s="176"/>
      <c r="AV216" s="176"/>
      <c r="AW216" s="176"/>
      <c r="AX216" s="176"/>
      <c r="AY216" s="176"/>
      <c r="AZ216" s="176"/>
      <c r="BA216" s="176"/>
      <c r="BB216" s="176"/>
      <c r="BC216" s="176"/>
      <c r="BD216" s="176"/>
      <c r="BE216" s="176"/>
      <c r="BF216" s="176"/>
      <c r="BG216" s="176"/>
      <c r="BH216" s="176"/>
      <c r="BI216" s="176"/>
      <c r="BJ216" s="176"/>
      <c r="BK216" s="211"/>
      <c r="BL216" s="211"/>
    </row>
    <row r="217" spans="3:64" s="184" customFormat="1" ht="15">
      <c r="C217" s="211"/>
      <c r="G217" s="208"/>
      <c r="K217" s="248"/>
      <c r="O217" s="208"/>
      <c r="AI217" s="185"/>
      <c r="AJ217" s="185"/>
      <c r="AK217" s="185"/>
      <c r="AL217" s="185"/>
      <c r="AM217" s="185"/>
      <c r="AN217" s="185"/>
      <c r="AO217" s="209"/>
      <c r="AP217" s="185"/>
      <c r="AQ217" s="185"/>
      <c r="AR217" s="185"/>
      <c r="AS217" s="210"/>
      <c r="AT217" s="176"/>
      <c r="AU217" s="176"/>
      <c r="AV217" s="176"/>
      <c r="AW217" s="176"/>
      <c r="AX217" s="176"/>
      <c r="AY217" s="176"/>
      <c r="AZ217" s="176"/>
      <c r="BA217" s="176"/>
      <c r="BB217" s="176"/>
      <c r="BC217" s="176"/>
      <c r="BD217" s="176"/>
      <c r="BE217" s="176"/>
      <c r="BF217" s="176"/>
      <c r="BG217" s="176"/>
      <c r="BH217" s="176"/>
      <c r="BI217" s="176"/>
      <c r="BJ217" s="176"/>
      <c r="BK217" s="211"/>
      <c r="BL217" s="211"/>
    </row>
    <row r="218" spans="3:64" s="184" customFormat="1" ht="15">
      <c r="C218" s="211"/>
      <c r="G218" s="208"/>
      <c r="K218" s="248"/>
      <c r="O218" s="208"/>
      <c r="AI218" s="185"/>
      <c r="AJ218" s="185"/>
      <c r="AK218" s="185"/>
      <c r="AL218" s="185"/>
      <c r="AM218" s="185"/>
      <c r="AN218" s="185"/>
      <c r="AO218" s="209"/>
      <c r="AP218" s="185"/>
      <c r="AQ218" s="185"/>
      <c r="AR218" s="185"/>
      <c r="AS218" s="210"/>
      <c r="AT218" s="176"/>
      <c r="AU218" s="176"/>
      <c r="AV218" s="176"/>
      <c r="AW218" s="176"/>
      <c r="AX218" s="176"/>
      <c r="AY218" s="176"/>
      <c r="AZ218" s="176"/>
      <c r="BA218" s="176"/>
      <c r="BB218" s="176"/>
      <c r="BC218" s="176"/>
      <c r="BD218" s="176"/>
      <c r="BE218" s="176"/>
      <c r="BF218" s="176"/>
      <c r="BG218" s="176"/>
      <c r="BH218" s="176"/>
      <c r="BI218" s="176"/>
      <c r="BJ218" s="176"/>
      <c r="BK218" s="211"/>
      <c r="BL218" s="211"/>
    </row>
    <row r="219" spans="3:64" s="184" customFormat="1" ht="15">
      <c r="C219" s="211"/>
      <c r="G219" s="208"/>
      <c r="K219" s="248"/>
      <c r="O219" s="208"/>
      <c r="AI219" s="185"/>
      <c r="AJ219" s="185"/>
      <c r="AK219" s="185"/>
      <c r="AL219" s="185"/>
      <c r="AM219" s="185"/>
      <c r="AN219" s="185"/>
      <c r="AO219" s="209"/>
      <c r="AP219" s="185"/>
      <c r="AQ219" s="185"/>
      <c r="AR219" s="185"/>
      <c r="AS219" s="210"/>
      <c r="AT219" s="176"/>
      <c r="AU219" s="176"/>
      <c r="AV219" s="176"/>
      <c r="AW219" s="176"/>
      <c r="AX219" s="176"/>
      <c r="AY219" s="176"/>
      <c r="AZ219" s="176"/>
      <c r="BA219" s="176"/>
      <c r="BB219" s="176"/>
      <c r="BC219" s="176"/>
      <c r="BD219" s="176"/>
      <c r="BE219" s="176"/>
      <c r="BF219" s="176"/>
      <c r="BG219" s="176"/>
      <c r="BH219" s="176"/>
      <c r="BI219" s="176"/>
      <c r="BJ219" s="176"/>
      <c r="BK219" s="211"/>
      <c r="BL219" s="211"/>
    </row>
    <row r="220" spans="3:64" s="184" customFormat="1" ht="15">
      <c r="C220" s="211"/>
      <c r="G220" s="208"/>
      <c r="K220" s="248"/>
      <c r="O220" s="208"/>
      <c r="AI220" s="185"/>
      <c r="AJ220" s="185"/>
      <c r="AK220" s="185"/>
      <c r="AL220" s="185"/>
      <c r="AM220" s="185"/>
      <c r="AN220" s="185"/>
      <c r="AO220" s="209"/>
      <c r="AP220" s="185"/>
      <c r="AQ220" s="185"/>
      <c r="AR220" s="185"/>
      <c r="AS220" s="210"/>
      <c r="AT220" s="176"/>
      <c r="AU220" s="176"/>
      <c r="AV220" s="176"/>
      <c r="AW220" s="176"/>
      <c r="AX220" s="176"/>
      <c r="AY220" s="176"/>
      <c r="AZ220" s="176"/>
      <c r="BA220" s="176"/>
      <c r="BB220" s="176"/>
      <c r="BC220" s="176"/>
      <c r="BD220" s="176"/>
      <c r="BE220" s="176"/>
      <c r="BF220" s="176"/>
      <c r="BG220" s="176"/>
      <c r="BH220" s="176"/>
      <c r="BI220" s="176"/>
      <c r="BJ220" s="176"/>
      <c r="BK220" s="211"/>
      <c r="BL220" s="211"/>
    </row>
    <row r="221" spans="3:64" s="184" customFormat="1" ht="15">
      <c r="C221" s="211"/>
      <c r="G221" s="208"/>
      <c r="K221" s="248"/>
      <c r="O221" s="208"/>
      <c r="AI221" s="185"/>
      <c r="AJ221" s="185"/>
      <c r="AK221" s="185"/>
      <c r="AL221" s="185"/>
      <c r="AM221" s="185"/>
      <c r="AN221" s="185"/>
      <c r="AO221" s="209"/>
      <c r="AP221" s="185"/>
      <c r="AQ221" s="185"/>
      <c r="AR221" s="185"/>
      <c r="AS221" s="210"/>
      <c r="AT221" s="176"/>
      <c r="AU221" s="176"/>
      <c r="AV221" s="176"/>
      <c r="AW221" s="176"/>
      <c r="AX221" s="176"/>
      <c r="AY221" s="176"/>
      <c r="AZ221" s="176"/>
      <c r="BA221" s="176"/>
      <c r="BB221" s="176"/>
      <c r="BC221" s="176"/>
      <c r="BD221" s="176"/>
      <c r="BE221" s="176"/>
      <c r="BF221" s="176"/>
      <c r="BG221" s="176"/>
      <c r="BH221" s="176"/>
      <c r="BI221" s="176"/>
      <c r="BJ221" s="176"/>
      <c r="BK221" s="211"/>
      <c r="BL221" s="211"/>
    </row>
    <row r="222" spans="3:64" s="184" customFormat="1" ht="15">
      <c r="C222" s="211"/>
      <c r="G222" s="208"/>
      <c r="K222" s="248"/>
      <c r="O222" s="208"/>
      <c r="AI222" s="185"/>
      <c r="AJ222" s="185"/>
      <c r="AK222" s="185"/>
      <c r="AL222" s="185"/>
      <c r="AM222" s="185"/>
      <c r="AN222" s="185"/>
      <c r="AO222" s="209"/>
      <c r="AP222" s="185"/>
      <c r="AQ222" s="185"/>
      <c r="AR222" s="185"/>
      <c r="AS222" s="210"/>
      <c r="AT222" s="176"/>
      <c r="AU222" s="176"/>
      <c r="AV222" s="176"/>
      <c r="AW222" s="176"/>
      <c r="AX222" s="176"/>
      <c r="AY222" s="176"/>
      <c r="AZ222" s="176"/>
      <c r="BA222" s="176"/>
      <c r="BB222" s="176"/>
      <c r="BC222" s="176"/>
      <c r="BD222" s="176"/>
      <c r="BE222" s="176"/>
      <c r="BF222" s="176"/>
      <c r="BG222" s="176"/>
      <c r="BH222" s="176"/>
      <c r="BI222" s="176"/>
      <c r="BJ222" s="176"/>
      <c r="BK222" s="211"/>
      <c r="BL222" s="211"/>
    </row>
    <row r="223" spans="3:64" s="184" customFormat="1" ht="15">
      <c r="C223" s="211"/>
      <c r="G223" s="208"/>
      <c r="K223" s="248"/>
      <c r="O223" s="208"/>
      <c r="AI223" s="185"/>
      <c r="AJ223" s="185"/>
      <c r="AK223" s="185"/>
      <c r="AL223" s="185"/>
      <c r="AM223" s="185"/>
      <c r="AN223" s="185"/>
      <c r="AO223" s="209"/>
      <c r="AP223" s="185"/>
      <c r="AQ223" s="185"/>
      <c r="AR223" s="185"/>
      <c r="AS223" s="210"/>
      <c r="AT223" s="176"/>
      <c r="AU223" s="176"/>
      <c r="AV223" s="176"/>
      <c r="AW223" s="176"/>
      <c r="AX223" s="176"/>
      <c r="AY223" s="176"/>
      <c r="AZ223" s="176"/>
      <c r="BA223" s="176"/>
      <c r="BB223" s="176"/>
      <c r="BC223" s="176"/>
      <c r="BD223" s="176"/>
      <c r="BE223" s="176"/>
      <c r="BF223" s="176"/>
      <c r="BG223" s="176"/>
      <c r="BH223" s="176"/>
      <c r="BI223" s="176"/>
      <c r="BJ223" s="176"/>
      <c r="BK223" s="211"/>
      <c r="BL223" s="211"/>
    </row>
    <row r="224" spans="3:64" s="184" customFormat="1" ht="15">
      <c r="C224" s="211"/>
      <c r="G224" s="208"/>
      <c r="K224" s="248"/>
      <c r="O224" s="208"/>
      <c r="AI224" s="185"/>
      <c r="AJ224" s="185"/>
      <c r="AK224" s="185"/>
      <c r="AL224" s="185"/>
      <c r="AM224" s="185"/>
      <c r="AN224" s="185"/>
      <c r="AO224" s="209"/>
      <c r="AP224" s="185"/>
      <c r="AQ224" s="185"/>
      <c r="AR224" s="185"/>
      <c r="AS224" s="210"/>
      <c r="AT224" s="176"/>
      <c r="AU224" s="176"/>
      <c r="AV224" s="176"/>
      <c r="AW224" s="176"/>
      <c r="AX224" s="176"/>
      <c r="AY224" s="176"/>
      <c r="AZ224" s="176"/>
      <c r="BA224" s="176"/>
      <c r="BB224" s="176"/>
      <c r="BC224" s="176"/>
      <c r="BD224" s="176"/>
      <c r="BE224" s="176"/>
      <c r="BF224" s="176"/>
      <c r="BG224" s="176"/>
      <c r="BH224" s="176"/>
      <c r="BI224" s="176"/>
      <c r="BJ224" s="176"/>
      <c r="BK224" s="211"/>
      <c r="BL224" s="211"/>
    </row>
    <row r="225" spans="3:64" s="184" customFormat="1" ht="15">
      <c r="C225" s="211"/>
      <c r="G225" s="208"/>
      <c r="K225" s="248"/>
      <c r="O225" s="208"/>
      <c r="AI225" s="185"/>
      <c r="AJ225" s="185"/>
      <c r="AK225" s="185"/>
      <c r="AL225" s="185"/>
      <c r="AM225" s="185"/>
      <c r="AN225" s="185"/>
      <c r="AO225" s="209"/>
      <c r="AP225" s="185"/>
      <c r="AQ225" s="185"/>
      <c r="AR225" s="185"/>
      <c r="AS225" s="210"/>
      <c r="AT225" s="176"/>
      <c r="AU225" s="176"/>
      <c r="AV225" s="176"/>
      <c r="AW225" s="176"/>
      <c r="AX225" s="176"/>
      <c r="AY225" s="176"/>
      <c r="AZ225" s="176"/>
      <c r="BA225" s="176"/>
      <c r="BB225" s="176"/>
      <c r="BC225" s="176"/>
      <c r="BD225" s="176"/>
      <c r="BE225" s="176"/>
      <c r="BF225" s="176"/>
      <c r="BG225" s="176"/>
      <c r="BH225" s="176"/>
      <c r="BI225" s="176"/>
      <c r="BJ225" s="176"/>
      <c r="BK225" s="211"/>
      <c r="BL225" s="211"/>
    </row>
    <row r="226" spans="3:64" s="184" customFormat="1" ht="15">
      <c r="C226" s="211"/>
      <c r="G226" s="208"/>
      <c r="K226" s="248"/>
      <c r="O226" s="208"/>
      <c r="AI226" s="185"/>
      <c r="AJ226" s="185"/>
      <c r="AK226" s="185"/>
      <c r="AL226" s="185"/>
      <c r="AM226" s="185"/>
      <c r="AN226" s="185"/>
      <c r="AO226" s="209"/>
      <c r="AP226" s="185"/>
      <c r="AQ226" s="185"/>
      <c r="AR226" s="185"/>
      <c r="AS226" s="210"/>
      <c r="AT226" s="176"/>
      <c r="AU226" s="176"/>
      <c r="AV226" s="176"/>
      <c r="AW226" s="176"/>
      <c r="AX226" s="176"/>
      <c r="AY226" s="176"/>
      <c r="AZ226" s="176"/>
      <c r="BA226" s="176"/>
      <c r="BB226" s="176"/>
      <c r="BC226" s="176"/>
      <c r="BD226" s="176"/>
      <c r="BE226" s="176"/>
      <c r="BF226" s="176"/>
      <c r="BG226" s="176"/>
      <c r="BH226" s="176"/>
      <c r="BI226" s="176"/>
      <c r="BJ226" s="176"/>
      <c r="BK226" s="211"/>
      <c r="BL226" s="211"/>
    </row>
    <row r="227" spans="3:64" s="184" customFormat="1" ht="15">
      <c r="C227" s="211"/>
      <c r="G227" s="208"/>
      <c r="K227" s="248"/>
      <c r="O227" s="208"/>
      <c r="AI227" s="185"/>
      <c r="AJ227" s="185"/>
      <c r="AK227" s="185"/>
      <c r="AL227" s="185"/>
      <c r="AM227" s="185"/>
      <c r="AN227" s="185"/>
      <c r="AO227" s="209"/>
      <c r="AP227" s="185"/>
      <c r="AQ227" s="185"/>
      <c r="AR227" s="185"/>
      <c r="AS227" s="210"/>
      <c r="AT227" s="176"/>
      <c r="AU227" s="176"/>
      <c r="AV227" s="176"/>
      <c r="AW227" s="176"/>
      <c r="AX227" s="176"/>
      <c r="AY227" s="176"/>
      <c r="AZ227" s="176"/>
      <c r="BA227" s="176"/>
      <c r="BB227" s="176"/>
      <c r="BC227" s="176"/>
      <c r="BD227" s="176"/>
      <c r="BE227" s="176"/>
      <c r="BF227" s="176"/>
      <c r="BG227" s="176"/>
      <c r="BH227" s="176"/>
      <c r="BI227" s="176"/>
      <c r="BJ227" s="176"/>
      <c r="BK227" s="211"/>
      <c r="BL227" s="211"/>
    </row>
    <row r="228" spans="3:64" s="184" customFormat="1" ht="15">
      <c r="C228" s="211"/>
      <c r="G228" s="208"/>
      <c r="K228" s="248"/>
      <c r="O228" s="208"/>
      <c r="AI228" s="185"/>
      <c r="AJ228" s="185"/>
      <c r="AK228" s="185"/>
      <c r="AL228" s="185"/>
      <c r="AM228" s="185"/>
      <c r="AN228" s="185"/>
      <c r="AO228" s="209"/>
      <c r="AP228" s="185"/>
      <c r="AQ228" s="185"/>
      <c r="AR228" s="185"/>
      <c r="AS228" s="210"/>
      <c r="AT228" s="176"/>
      <c r="AU228" s="176"/>
      <c r="AV228" s="176"/>
      <c r="AW228" s="176"/>
      <c r="AX228" s="176"/>
      <c r="AY228" s="176"/>
      <c r="AZ228" s="176"/>
      <c r="BA228" s="176"/>
      <c r="BB228" s="176"/>
      <c r="BC228" s="176"/>
      <c r="BD228" s="176"/>
      <c r="BE228" s="176"/>
      <c r="BF228" s="176"/>
      <c r="BG228" s="176"/>
      <c r="BH228" s="176"/>
      <c r="BI228" s="176"/>
      <c r="BJ228" s="176"/>
      <c r="BK228" s="211"/>
      <c r="BL228" s="211"/>
    </row>
    <row r="229" spans="3:64" s="184" customFormat="1" ht="15">
      <c r="C229" s="211"/>
      <c r="G229" s="208"/>
      <c r="K229" s="248"/>
      <c r="O229" s="208"/>
      <c r="AI229" s="185"/>
      <c r="AJ229" s="185"/>
      <c r="AK229" s="185"/>
      <c r="AL229" s="185"/>
      <c r="AM229" s="185"/>
      <c r="AN229" s="185"/>
      <c r="AO229" s="209"/>
      <c r="AP229" s="185"/>
      <c r="AQ229" s="185"/>
      <c r="AR229" s="185"/>
      <c r="AS229" s="210"/>
      <c r="AT229" s="176"/>
      <c r="AU229" s="176"/>
      <c r="AV229" s="176"/>
      <c r="AW229" s="176"/>
      <c r="AX229" s="176"/>
      <c r="AY229" s="176"/>
      <c r="AZ229" s="176"/>
      <c r="BA229" s="176"/>
      <c r="BB229" s="176"/>
      <c r="BC229" s="176"/>
      <c r="BD229" s="176"/>
      <c r="BE229" s="176"/>
      <c r="BF229" s="176"/>
      <c r="BG229" s="176"/>
      <c r="BH229" s="176"/>
      <c r="BI229" s="176"/>
      <c r="BJ229" s="176"/>
      <c r="BK229" s="211"/>
      <c r="BL229" s="211"/>
    </row>
    <row r="230" spans="3:64" s="184" customFormat="1" ht="15">
      <c r="C230" s="211"/>
      <c r="G230" s="208"/>
      <c r="K230" s="248"/>
      <c r="O230" s="208"/>
      <c r="AI230" s="185"/>
      <c r="AJ230" s="185"/>
      <c r="AK230" s="185"/>
      <c r="AL230" s="185"/>
      <c r="AM230" s="185"/>
      <c r="AN230" s="185"/>
      <c r="AO230" s="209"/>
      <c r="AP230" s="185"/>
      <c r="AQ230" s="185"/>
      <c r="AR230" s="185"/>
      <c r="AS230" s="210"/>
      <c r="AT230" s="176"/>
      <c r="AU230" s="176"/>
      <c r="AV230" s="176"/>
      <c r="AW230" s="176"/>
      <c r="AX230" s="176"/>
      <c r="AY230" s="176"/>
      <c r="AZ230" s="176"/>
      <c r="BA230" s="176"/>
      <c r="BB230" s="176"/>
      <c r="BC230" s="176"/>
      <c r="BD230" s="176"/>
      <c r="BE230" s="176"/>
      <c r="BF230" s="176"/>
      <c r="BG230" s="176"/>
      <c r="BH230" s="176"/>
      <c r="BI230" s="176"/>
      <c r="BJ230" s="176"/>
      <c r="BK230" s="211"/>
      <c r="BL230" s="211"/>
    </row>
    <row r="231" spans="3:64" s="184" customFormat="1" ht="15">
      <c r="C231" s="211"/>
      <c r="G231" s="208"/>
      <c r="K231" s="248"/>
      <c r="O231" s="208"/>
      <c r="AI231" s="185"/>
      <c r="AJ231" s="185"/>
      <c r="AK231" s="185"/>
      <c r="AL231" s="185"/>
      <c r="AM231" s="185"/>
      <c r="AN231" s="185"/>
      <c r="AO231" s="209"/>
      <c r="AP231" s="185"/>
      <c r="AQ231" s="185"/>
      <c r="AR231" s="185"/>
      <c r="AS231" s="210"/>
      <c r="AT231" s="176"/>
      <c r="AU231" s="176"/>
      <c r="AV231" s="176"/>
      <c r="AW231" s="176"/>
      <c r="AX231" s="176"/>
      <c r="AY231" s="176"/>
      <c r="AZ231" s="176"/>
      <c r="BA231" s="176"/>
      <c r="BB231" s="176"/>
      <c r="BC231" s="176"/>
      <c r="BD231" s="176"/>
      <c r="BE231" s="176"/>
      <c r="BF231" s="176"/>
      <c r="BG231" s="176"/>
      <c r="BH231" s="176"/>
      <c r="BI231" s="176"/>
      <c r="BJ231" s="176"/>
      <c r="BK231" s="211"/>
      <c r="BL231" s="211"/>
    </row>
    <row r="232" spans="3:64" s="184" customFormat="1" ht="15">
      <c r="C232" s="211"/>
      <c r="G232" s="208"/>
      <c r="K232" s="248"/>
      <c r="O232" s="208"/>
      <c r="AI232" s="185"/>
      <c r="AJ232" s="185"/>
      <c r="AK232" s="185"/>
      <c r="AL232" s="185"/>
      <c r="AM232" s="185"/>
      <c r="AN232" s="185"/>
      <c r="AO232" s="209"/>
      <c r="AP232" s="185"/>
      <c r="AQ232" s="185"/>
      <c r="AR232" s="185"/>
      <c r="AS232" s="210"/>
      <c r="AT232" s="176"/>
      <c r="AU232" s="176"/>
      <c r="AV232" s="176"/>
      <c r="AW232" s="176"/>
      <c r="AX232" s="176"/>
      <c r="AY232" s="176"/>
      <c r="AZ232" s="176"/>
      <c r="BA232" s="176"/>
      <c r="BB232" s="176"/>
      <c r="BC232" s="176"/>
      <c r="BD232" s="176"/>
      <c r="BE232" s="176"/>
      <c r="BF232" s="176"/>
      <c r="BG232" s="176"/>
      <c r="BH232" s="176"/>
      <c r="BI232" s="176"/>
      <c r="BJ232" s="176"/>
      <c r="BK232" s="211"/>
      <c r="BL232" s="211"/>
    </row>
    <row r="233" spans="3:64" s="184" customFormat="1" ht="15">
      <c r="C233" s="211"/>
      <c r="G233" s="208"/>
      <c r="K233" s="248"/>
      <c r="O233" s="208"/>
      <c r="AI233" s="185"/>
      <c r="AJ233" s="185"/>
      <c r="AK233" s="185"/>
      <c r="AL233" s="185"/>
      <c r="AM233" s="185"/>
      <c r="AN233" s="185"/>
      <c r="AO233" s="209"/>
      <c r="AP233" s="185"/>
      <c r="AQ233" s="185"/>
      <c r="AR233" s="185"/>
      <c r="AS233" s="210"/>
      <c r="AT233" s="176"/>
      <c r="AU233" s="176"/>
      <c r="AV233" s="176"/>
      <c r="AW233" s="176"/>
      <c r="AX233" s="176"/>
      <c r="AY233" s="176"/>
      <c r="AZ233" s="176"/>
      <c r="BA233" s="176"/>
      <c r="BB233" s="176"/>
      <c r="BC233" s="176"/>
      <c r="BD233" s="176"/>
      <c r="BE233" s="176"/>
      <c r="BF233" s="176"/>
      <c r="BG233" s="176"/>
      <c r="BH233" s="176"/>
      <c r="BI233" s="176"/>
      <c r="BJ233" s="176"/>
      <c r="BK233" s="211"/>
      <c r="BL233" s="211"/>
    </row>
    <row r="234" spans="3:64" s="184" customFormat="1" ht="15">
      <c r="C234" s="211"/>
      <c r="G234" s="208"/>
      <c r="K234" s="248"/>
      <c r="O234" s="208"/>
      <c r="AI234" s="185"/>
      <c r="AJ234" s="185"/>
      <c r="AK234" s="185"/>
      <c r="AL234" s="185"/>
      <c r="AM234" s="185"/>
      <c r="AN234" s="185"/>
      <c r="AO234" s="209"/>
      <c r="AP234" s="185"/>
      <c r="AQ234" s="185"/>
      <c r="AR234" s="185"/>
      <c r="AS234" s="210"/>
      <c r="AT234" s="176"/>
      <c r="AU234" s="176"/>
      <c r="AV234" s="176"/>
      <c r="AW234" s="176"/>
      <c r="AX234" s="176"/>
      <c r="AY234" s="176"/>
      <c r="AZ234" s="176"/>
      <c r="BA234" s="176"/>
      <c r="BB234" s="176"/>
      <c r="BC234" s="176"/>
      <c r="BD234" s="176"/>
      <c r="BE234" s="176"/>
      <c r="BF234" s="176"/>
      <c r="BG234" s="176"/>
      <c r="BH234" s="176"/>
      <c r="BI234" s="176"/>
      <c r="BJ234" s="176"/>
      <c r="BK234" s="211"/>
      <c r="BL234" s="211"/>
    </row>
    <row r="235" spans="3:64" s="184" customFormat="1" ht="15">
      <c r="C235" s="211"/>
      <c r="G235" s="208"/>
      <c r="K235" s="248"/>
      <c r="O235" s="208"/>
      <c r="AI235" s="185"/>
      <c r="AJ235" s="185"/>
      <c r="AK235" s="185"/>
      <c r="AL235" s="185"/>
      <c r="AM235" s="185"/>
      <c r="AN235" s="185"/>
      <c r="AO235" s="209"/>
      <c r="AP235" s="185"/>
      <c r="AQ235" s="185"/>
      <c r="AR235" s="185"/>
      <c r="AS235" s="210"/>
      <c r="AT235" s="176"/>
      <c r="AU235" s="176"/>
      <c r="AV235" s="176"/>
      <c r="AW235" s="176"/>
      <c r="AX235" s="176"/>
      <c r="AY235" s="176"/>
      <c r="AZ235" s="176"/>
      <c r="BA235" s="176"/>
      <c r="BB235" s="176"/>
      <c r="BC235" s="176"/>
      <c r="BD235" s="176"/>
      <c r="BE235" s="176"/>
      <c r="BF235" s="176"/>
      <c r="BG235" s="176"/>
      <c r="BH235" s="176"/>
      <c r="BI235" s="176"/>
      <c r="BJ235" s="176"/>
      <c r="BK235" s="211"/>
      <c r="BL235" s="211"/>
    </row>
    <row r="236" spans="3:64" s="184" customFormat="1" ht="15">
      <c r="C236" s="211"/>
      <c r="G236" s="208"/>
      <c r="K236" s="248"/>
      <c r="O236" s="208"/>
      <c r="AI236" s="185"/>
      <c r="AJ236" s="185"/>
      <c r="AK236" s="185"/>
      <c r="AL236" s="185"/>
      <c r="AM236" s="185"/>
      <c r="AN236" s="185"/>
      <c r="AO236" s="209"/>
      <c r="AP236" s="185"/>
      <c r="AQ236" s="185"/>
      <c r="AR236" s="185"/>
      <c r="AS236" s="210"/>
      <c r="AT236" s="176"/>
      <c r="AU236" s="176"/>
      <c r="AV236" s="176"/>
      <c r="AW236" s="176"/>
      <c r="AX236" s="176"/>
      <c r="AY236" s="176"/>
      <c r="AZ236" s="176"/>
      <c r="BA236" s="176"/>
      <c r="BB236" s="176"/>
      <c r="BC236" s="176"/>
      <c r="BD236" s="176"/>
      <c r="BE236" s="176"/>
      <c r="BF236" s="176"/>
      <c r="BG236" s="176"/>
      <c r="BH236" s="176"/>
      <c r="BI236" s="176"/>
      <c r="BJ236" s="176"/>
      <c r="BK236" s="211"/>
      <c r="BL236" s="211"/>
    </row>
    <row r="237" spans="3:64" s="184" customFormat="1" ht="15">
      <c r="C237" s="211"/>
      <c r="G237" s="208"/>
      <c r="K237" s="248"/>
      <c r="O237" s="208"/>
      <c r="AI237" s="185"/>
      <c r="AJ237" s="185"/>
      <c r="AK237" s="185"/>
      <c r="AL237" s="185"/>
      <c r="AM237" s="185"/>
      <c r="AN237" s="185"/>
      <c r="AO237" s="209"/>
      <c r="AP237" s="185"/>
      <c r="AQ237" s="185"/>
      <c r="AR237" s="185"/>
      <c r="AS237" s="210"/>
      <c r="AT237" s="176"/>
      <c r="AU237" s="176"/>
      <c r="AV237" s="176"/>
      <c r="AW237" s="176"/>
      <c r="AX237" s="176"/>
      <c r="AY237" s="176"/>
      <c r="AZ237" s="176"/>
      <c r="BA237" s="176"/>
      <c r="BB237" s="176"/>
      <c r="BC237" s="176"/>
      <c r="BD237" s="176"/>
      <c r="BE237" s="176"/>
      <c r="BF237" s="176"/>
      <c r="BG237" s="176"/>
      <c r="BH237" s="176"/>
      <c r="BI237" s="176"/>
      <c r="BJ237" s="176"/>
      <c r="BK237" s="211"/>
      <c r="BL237" s="211"/>
    </row>
    <row r="238" spans="3:64" s="184" customFormat="1" ht="15">
      <c r="C238" s="211"/>
      <c r="G238" s="208"/>
      <c r="K238" s="248"/>
      <c r="O238" s="208"/>
      <c r="AI238" s="185"/>
      <c r="AJ238" s="185"/>
      <c r="AK238" s="185"/>
      <c r="AL238" s="185"/>
      <c r="AM238" s="185"/>
      <c r="AN238" s="185"/>
      <c r="AO238" s="209"/>
      <c r="AP238" s="185"/>
      <c r="AQ238" s="185"/>
      <c r="AR238" s="185"/>
      <c r="AS238" s="210"/>
      <c r="AT238" s="176"/>
      <c r="AU238" s="176"/>
      <c r="AV238" s="176"/>
      <c r="AW238" s="176"/>
      <c r="AX238" s="176"/>
      <c r="AY238" s="176"/>
      <c r="AZ238" s="176"/>
      <c r="BA238" s="176"/>
      <c r="BB238" s="176"/>
      <c r="BC238" s="176"/>
      <c r="BD238" s="176"/>
      <c r="BE238" s="176"/>
      <c r="BF238" s="176"/>
      <c r="BG238" s="176"/>
      <c r="BH238" s="176"/>
      <c r="BI238" s="176"/>
      <c r="BJ238" s="176"/>
      <c r="BK238" s="211"/>
      <c r="BL238" s="211"/>
    </row>
    <row r="239" spans="3:64" s="184" customFormat="1" ht="15">
      <c r="C239" s="211"/>
      <c r="G239" s="208"/>
      <c r="K239" s="248"/>
      <c r="O239" s="208"/>
      <c r="AI239" s="185"/>
      <c r="AJ239" s="185"/>
      <c r="AK239" s="185"/>
      <c r="AL239" s="185"/>
      <c r="AM239" s="185"/>
      <c r="AN239" s="185"/>
      <c r="AO239" s="209"/>
      <c r="AP239" s="185"/>
      <c r="AQ239" s="185"/>
      <c r="AR239" s="185"/>
      <c r="AS239" s="210"/>
      <c r="AT239" s="176"/>
      <c r="AU239" s="176"/>
      <c r="AV239" s="176"/>
      <c r="AW239" s="176"/>
      <c r="AX239" s="176"/>
      <c r="AY239" s="176"/>
      <c r="AZ239" s="176"/>
      <c r="BA239" s="176"/>
      <c r="BB239" s="176"/>
      <c r="BC239" s="176"/>
      <c r="BD239" s="176"/>
      <c r="BE239" s="176"/>
      <c r="BF239" s="176"/>
      <c r="BG239" s="176"/>
      <c r="BH239" s="176"/>
      <c r="BI239" s="176"/>
      <c r="BJ239" s="176"/>
      <c r="BK239" s="211"/>
      <c r="BL239" s="211"/>
    </row>
    <row r="240" spans="3:64" s="184" customFormat="1" ht="15">
      <c r="C240" s="211"/>
      <c r="G240" s="208"/>
      <c r="K240" s="248"/>
      <c r="O240" s="208"/>
      <c r="AI240" s="185"/>
      <c r="AJ240" s="185"/>
      <c r="AK240" s="185"/>
      <c r="AL240" s="185"/>
      <c r="AM240" s="185"/>
      <c r="AN240" s="185"/>
      <c r="AO240" s="209"/>
      <c r="AP240" s="185"/>
      <c r="AQ240" s="185"/>
      <c r="AR240" s="185"/>
      <c r="AS240" s="210"/>
      <c r="AT240" s="176"/>
      <c r="AU240" s="176"/>
      <c r="AV240" s="176"/>
      <c r="AW240" s="176"/>
      <c r="AX240" s="176"/>
      <c r="AY240" s="176"/>
      <c r="AZ240" s="176"/>
      <c r="BA240" s="176"/>
      <c r="BB240" s="176"/>
      <c r="BC240" s="176"/>
      <c r="BD240" s="176"/>
      <c r="BE240" s="176"/>
      <c r="BF240" s="176"/>
      <c r="BG240" s="176"/>
      <c r="BH240" s="176"/>
      <c r="BI240" s="176"/>
      <c r="BJ240" s="176"/>
      <c r="BK240" s="211"/>
      <c r="BL240" s="211"/>
    </row>
    <row r="241" spans="3:64" s="184" customFormat="1" ht="15">
      <c r="C241" s="211"/>
      <c r="G241" s="208"/>
      <c r="K241" s="248"/>
      <c r="O241" s="208"/>
      <c r="AI241" s="185"/>
      <c r="AJ241" s="185"/>
      <c r="AK241" s="185"/>
      <c r="AL241" s="185"/>
      <c r="AM241" s="185"/>
      <c r="AN241" s="185"/>
      <c r="AO241" s="209"/>
      <c r="AP241" s="185"/>
      <c r="AQ241" s="185"/>
      <c r="AR241" s="185"/>
      <c r="AS241" s="210"/>
      <c r="AT241" s="176"/>
      <c r="AU241" s="176"/>
      <c r="AV241" s="176"/>
      <c r="AW241" s="176"/>
      <c r="AX241" s="176"/>
      <c r="AY241" s="176"/>
      <c r="AZ241" s="176"/>
      <c r="BA241" s="176"/>
      <c r="BB241" s="176"/>
      <c r="BC241" s="176"/>
      <c r="BD241" s="176"/>
      <c r="BE241" s="176"/>
      <c r="BF241" s="176"/>
      <c r="BG241" s="176"/>
      <c r="BH241" s="176"/>
      <c r="BI241" s="176"/>
      <c r="BJ241" s="176"/>
      <c r="BK241" s="211"/>
      <c r="BL241" s="211"/>
    </row>
    <row r="242" spans="3:73" s="759" customFormat="1" ht="15">
      <c r="C242" s="760"/>
      <c r="G242" s="763"/>
      <c r="K242" s="762"/>
      <c r="O242" s="763"/>
      <c r="X242" s="184"/>
      <c r="Y242" s="184"/>
      <c r="Z242" s="184"/>
      <c r="AA242" s="184"/>
      <c r="AB242" s="184"/>
      <c r="AC242" s="184"/>
      <c r="AD242" s="184"/>
      <c r="AE242" s="184"/>
      <c r="AF242" s="184"/>
      <c r="AG242" s="184"/>
      <c r="AH242" s="184"/>
      <c r="AI242" s="185"/>
      <c r="AJ242" s="185"/>
      <c r="AK242" s="185"/>
      <c r="AL242" s="185"/>
      <c r="AM242" s="185"/>
      <c r="AN242" s="185"/>
      <c r="AO242" s="209"/>
      <c r="AP242" s="185"/>
      <c r="AQ242" s="185"/>
      <c r="AR242" s="185"/>
      <c r="AS242" s="210"/>
      <c r="AT242" s="176"/>
      <c r="AU242" s="176"/>
      <c r="AV242" s="176"/>
      <c r="AW242" s="176"/>
      <c r="AX242" s="176"/>
      <c r="AY242" s="176"/>
      <c r="AZ242" s="176"/>
      <c r="BA242" s="176"/>
      <c r="BB242" s="176"/>
      <c r="BC242" s="176"/>
      <c r="BD242" s="176"/>
      <c r="BE242" s="176"/>
      <c r="BF242" s="176"/>
      <c r="BG242" s="176"/>
      <c r="BH242" s="176"/>
      <c r="BI242" s="176"/>
      <c r="BJ242" s="176"/>
      <c r="BK242" s="211"/>
      <c r="BL242" s="211"/>
      <c r="BM242" s="184"/>
      <c r="BN242" s="184"/>
      <c r="BO242" s="184"/>
      <c r="BP242" s="184"/>
      <c r="BQ242" s="184"/>
      <c r="BR242" s="184"/>
      <c r="BS242" s="184"/>
      <c r="BT242" s="184"/>
      <c r="BU242" s="184"/>
    </row>
    <row r="243" spans="3:73" s="759" customFormat="1" ht="15">
      <c r="C243" s="760"/>
      <c r="G243" s="763"/>
      <c r="K243" s="762"/>
      <c r="O243" s="763"/>
      <c r="X243" s="184"/>
      <c r="Y243" s="184"/>
      <c r="Z243" s="184"/>
      <c r="AA243" s="184"/>
      <c r="AB243" s="184"/>
      <c r="AC243" s="184"/>
      <c r="AD243" s="184"/>
      <c r="AE243" s="184"/>
      <c r="AF243" s="184"/>
      <c r="AG243" s="184"/>
      <c r="AH243" s="184"/>
      <c r="AI243" s="185"/>
      <c r="AJ243" s="185"/>
      <c r="AK243" s="185"/>
      <c r="AL243" s="185"/>
      <c r="AM243" s="185"/>
      <c r="AN243" s="185"/>
      <c r="AO243" s="209"/>
      <c r="AP243" s="185"/>
      <c r="AQ243" s="185"/>
      <c r="AR243" s="185"/>
      <c r="AS243" s="210"/>
      <c r="AT243" s="176"/>
      <c r="AU243" s="176"/>
      <c r="AV243" s="176"/>
      <c r="AW243" s="176"/>
      <c r="AX243" s="176"/>
      <c r="AY243" s="176"/>
      <c r="AZ243" s="176"/>
      <c r="BA243" s="176"/>
      <c r="BB243" s="176"/>
      <c r="BC243" s="176"/>
      <c r="BD243" s="176"/>
      <c r="BE243" s="176"/>
      <c r="BF243" s="176"/>
      <c r="BG243" s="176"/>
      <c r="BH243" s="176"/>
      <c r="BI243" s="176"/>
      <c r="BJ243" s="176"/>
      <c r="BK243" s="211"/>
      <c r="BL243" s="211"/>
      <c r="BM243" s="184"/>
      <c r="BN243" s="184"/>
      <c r="BO243" s="184"/>
      <c r="BP243" s="184"/>
      <c r="BQ243" s="184"/>
      <c r="BR243" s="184"/>
      <c r="BS243" s="184"/>
      <c r="BT243" s="184"/>
      <c r="BU243" s="184"/>
    </row>
    <row r="244" spans="3:73" s="759" customFormat="1" ht="15">
      <c r="C244" s="760"/>
      <c r="G244" s="763"/>
      <c r="K244" s="762"/>
      <c r="O244" s="763"/>
      <c r="X244" s="184"/>
      <c r="Y244" s="184"/>
      <c r="Z244" s="184"/>
      <c r="AA244" s="184"/>
      <c r="AB244" s="184"/>
      <c r="AC244" s="184"/>
      <c r="AD244" s="184"/>
      <c r="AE244" s="184"/>
      <c r="AF244" s="184"/>
      <c r="AG244" s="184"/>
      <c r="AH244" s="184"/>
      <c r="AI244" s="185"/>
      <c r="AJ244" s="185"/>
      <c r="AK244" s="185"/>
      <c r="AL244" s="185"/>
      <c r="AM244" s="185"/>
      <c r="AN244" s="185"/>
      <c r="AO244" s="209"/>
      <c r="AP244" s="185"/>
      <c r="AQ244" s="185"/>
      <c r="AR244" s="185"/>
      <c r="AS244" s="210"/>
      <c r="AT244" s="176"/>
      <c r="AU244" s="176"/>
      <c r="AV244" s="176"/>
      <c r="AW244" s="176"/>
      <c r="AX244" s="176"/>
      <c r="AY244" s="176"/>
      <c r="AZ244" s="176"/>
      <c r="BA244" s="176"/>
      <c r="BB244" s="176"/>
      <c r="BC244" s="176"/>
      <c r="BD244" s="176"/>
      <c r="BE244" s="176"/>
      <c r="BF244" s="176"/>
      <c r="BG244" s="176"/>
      <c r="BH244" s="176"/>
      <c r="BI244" s="176"/>
      <c r="BJ244" s="176"/>
      <c r="BK244" s="211"/>
      <c r="BL244" s="211"/>
      <c r="BM244" s="184"/>
      <c r="BN244" s="184"/>
      <c r="BO244" s="184"/>
      <c r="BP244" s="184"/>
      <c r="BQ244" s="184"/>
      <c r="BR244" s="184"/>
      <c r="BS244" s="184"/>
      <c r="BT244" s="184"/>
      <c r="BU244" s="184"/>
    </row>
    <row r="245" spans="3:73" s="759" customFormat="1" ht="15">
      <c r="C245" s="760"/>
      <c r="G245" s="763"/>
      <c r="K245" s="762"/>
      <c r="O245" s="763"/>
      <c r="X245" s="184"/>
      <c r="Y245" s="184"/>
      <c r="Z245" s="184"/>
      <c r="AA245" s="184"/>
      <c r="AB245" s="184"/>
      <c r="AC245" s="184"/>
      <c r="AD245" s="184"/>
      <c r="AE245" s="184"/>
      <c r="AF245" s="184"/>
      <c r="AG245" s="184"/>
      <c r="AH245" s="184"/>
      <c r="AI245" s="185"/>
      <c r="AJ245" s="185"/>
      <c r="AK245" s="185"/>
      <c r="AL245" s="185"/>
      <c r="AM245" s="185"/>
      <c r="AN245" s="185"/>
      <c r="AO245" s="209"/>
      <c r="AP245" s="185"/>
      <c r="AQ245" s="185"/>
      <c r="AR245" s="185"/>
      <c r="AS245" s="210"/>
      <c r="AT245" s="176"/>
      <c r="AU245" s="176"/>
      <c r="AV245" s="176"/>
      <c r="AW245" s="176"/>
      <c r="AX245" s="176"/>
      <c r="AY245" s="176"/>
      <c r="AZ245" s="176"/>
      <c r="BA245" s="176"/>
      <c r="BB245" s="176"/>
      <c r="BC245" s="176"/>
      <c r="BD245" s="176"/>
      <c r="BE245" s="176"/>
      <c r="BF245" s="176"/>
      <c r="BG245" s="176"/>
      <c r="BH245" s="176"/>
      <c r="BI245" s="176"/>
      <c r="BJ245" s="176"/>
      <c r="BK245" s="211"/>
      <c r="BL245" s="211"/>
      <c r="BM245" s="184"/>
      <c r="BN245" s="184"/>
      <c r="BO245" s="184"/>
      <c r="BP245" s="184"/>
      <c r="BQ245" s="184"/>
      <c r="BR245" s="184"/>
      <c r="BS245" s="184"/>
      <c r="BT245" s="184"/>
      <c r="BU245" s="184"/>
    </row>
    <row r="246" spans="3:73" s="759" customFormat="1" ht="15">
      <c r="C246" s="760"/>
      <c r="G246" s="763"/>
      <c r="K246" s="762"/>
      <c r="O246" s="763"/>
      <c r="X246" s="184"/>
      <c r="Y246" s="184"/>
      <c r="Z246" s="184"/>
      <c r="AA246" s="184"/>
      <c r="AB246" s="184"/>
      <c r="AC246" s="184"/>
      <c r="AD246" s="184"/>
      <c r="AE246" s="184"/>
      <c r="AF246" s="184"/>
      <c r="AG246" s="184"/>
      <c r="AH246" s="184"/>
      <c r="AI246" s="185"/>
      <c r="AJ246" s="185"/>
      <c r="AK246" s="185"/>
      <c r="AL246" s="185"/>
      <c r="AM246" s="185"/>
      <c r="AN246" s="185"/>
      <c r="AO246" s="209"/>
      <c r="AP246" s="185"/>
      <c r="AQ246" s="185"/>
      <c r="AR246" s="185"/>
      <c r="AS246" s="210"/>
      <c r="AT246" s="176"/>
      <c r="AU246" s="176"/>
      <c r="AV246" s="176"/>
      <c r="AW246" s="176"/>
      <c r="AX246" s="176"/>
      <c r="AY246" s="176"/>
      <c r="AZ246" s="176"/>
      <c r="BA246" s="176"/>
      <c r="BB246" s="176"/>
      <c r="BC246" s="176"/>
      <c r="BD246" s="176"/>
      <c r="BE246" s="176"/>
      <c r="BF246" s="176"/>
      <c r="BG246" s="176"/>
      <c r="BH246" s="176"/>
      <c r="BI246" s="176"/>
      <c r="BJ246" s="176"/>
      <c r="BK246" s="211"/>
      <c r="BL246" s="211"/>
      <c r="BM246" s="184"/>
      <c r="BN246" s="184"/>
      <c r="BO246" s="184"/>
      <c r="BP246" s="184"/>
      <c r="BQ246" s="184"/>
      <c r="BR246" s="184"/>
      <c r="BS246" s="184"/>
      <c r="BT246" s="184"/>
      <c r="BU246" s="184"/>
    </row>
    <row r="247" spans="3:73" s="759" customFormat="1" ht="15">
      <c r="C247" s="760"/>
      <c r="G247" s="763"/>
      <c r="K247" s="762"/>
      <c r="O247" s="763"/>
      <c r="X247" s="184"/>
      <c r="Y247" s="184"/>
      <c r="Z247" s="184"/>
      <c r="AA247" s="184"/>
      <c r="AB247" s="184"/>
      <c r="AC247" s="184"/>
      <c r="AD247" s="184"/>
      <c r="AE247" s="184"/>
      <c r="AF247" s="184"/>
      <c r="AG247" s="184"/>
      <c r="AH247" s="184"/>
      <c r="AI247" s="185"/>
      <c r="AJ247" s="185"/>
      <c r="AK247" s="185"/>
      <c r="AL247" s="185"/>
      <c r="AM247" s="185"/>
      <c r="AN247" s="185"/>
      <c r="AO247" s="209"/>
      <c r="AP247" s="185"/>
      <c r="AQ247" s="185"/>
      <c r="AR247" s="185"/>
      <c r="AS247" s="210"/>
      <c r="AT247" s="176"/>
      <c r="AU247" s="176"/>
      <c r="AV247" s="176"/>
      <c r="AW247" s="176"/>
      <c r="AX247" s="176"/>
      <c r="AY247" s="176"/>
      <c r="AZ247" s="176"/>
      <c r="BA247" s="176"/>
      <c r="BB247" s="176"/>
      <c r="BC247" s="176"/>
      <c r="BD247" s="176"/>
      <c r="BE247" s="176"/>
      <c r="BF247" s="176"/>
      <c r="BG247" s="176"/>
      <c r="BH247" s="176"/>
      <c r="BI247" s="176"/>
      <c r="BJ247" s="176"/>
      <c r="BK247" s="211"/>
      <c r="BL247" s="211"/>
      <c r="BM247" s="184"/>
      <c r="BN247" s="184"/>
      <c r="BO247" s="184"/>
      <c r="BP247" s="184"/>
      <c r="BQ247" s="184"/>
      <c r="BR247" s="184"/>
      <c r="BS247" s="184"/>
      <c r="BT247" s="184"/>
      <c r="BU247" s="184"/>
    </row>
    <row r="248" spans="3:73" s="759" customFormat="1" ht="15">
      <c r="C248" s="760"/>
      <c r="G248" s="763"/>
      <c r="K248" s="762"/>
      <c r="O248" s="763"/>
      <c r="X248" s="184"/>
      <c r="Y248" s="184"/>
      <c r="Z248" s="184"/>
      <c r="AA248" s="184"/>
      <c r="AB248" s="184"/>
      <c r="AC248" s="184"/>
      <c r="AD248" s="184"/>
      <c r="AE248" s="184"/>
      <c r="AF248" s="184"/>
      <c r="AG248" s="184"/>
      <c r="AH248" s="184"/>
      <c r="AI248" s="185"/>
      <c r="AJ248" s="185"/>
      <c r="AK248" s="185"/>
      <c r="AL248" s="185"/>
      <c r="AM248" s="185"/>
      <c r="AN248" s="185"/>
      <c r="AO248" s="209"/>
      <c r="AP248" s="185"/>
      <c r="AQ248" s="185"/>
      <c r="AR248" s="185"/>
      <c r="AS248" s="210"/>
      <c r="AT248" s="176"/>
      <c r="AU248" s="176"/>
      <c r="AV248" s="176"/>
      <c r="AW248" s="176"/>
      <c r="AX248" s="176"/>
      <c r="AY248" s="176"/>
      <c r="AZ248" s="176"/>
      <c r="BA248" s="176"/>
      <c r="BB248" s="176"/>
      <c r="BC248" s="176"/>
      <c r="BD248" s="176"/>
      <c r="BE248" s="176"/>
      <c r="BF248" s="176"/>
      <c r="BG248" s="176"/>
      <c r="BH248" s="176"/>
      <c r="BI248" s="176"/>
      <c r="BJ248" s="176"/>
      <c r="BK248" s="211"/>
      <c r="BL248" s="211"/>
      <c r="BM248" s="184"/>
      <c r="BN248" s="184"/>
      <c r="BO248" s="184"/>
      <c r="BP248" s="184"/>
      <c r="BQ248" s="184"/>
      <c r="BR248" s="184"/>
      <c r="BS248" s="184"/>
      <c r="BT248" s="184"/>
      <c r="BU248" s="184"/>
    </row>
    <row r="249" spans="3:73" s="759" customFormat="1" ht="15">
      <c r="C249" s="760"/>
      <c r="G249" s="763"/>
      <c r="K249" s="762"/>
      <c r="O249" s="763"/>
      <c r="X249" s="184"/>
      <c r="Y249" s="184"/>
      <c r="Z249" s="184"/>
      <c r="AA249" s="184"/>
      <c r="AB249" s="184"/>
      <c r="AC249" s="184"/>
      <c r="AD249" s="184"/>
      <c r="AE249" s="184"/>
      <c r="AF249" s="184"/>
      <c r="AG249" s="184"/>
      <c r="AH249" s="184"/>
      <c r="AI249" s="185"/>
      <c r="AJ249" s="185"/>
      <c r="AK249" s="185"/>
      <c r="AL249" s="185"/>
      <c r="AM249" s="185"/>
      <c r="AN249" s="185"/>
      <c r="AO249" s="209"/>
      <c r="AP249" s="185"/>
      <c r="AQ249" s="185"/>
      <c r="AR249" s="185"/>
      <c r="AS249" s="210"/>
      <c r="AT249" s="176"/>
      <c r="AU249" s="176"/>
      <c r="AV249" s="176"/>
      <c r="AW249" s="176"/>
      <c r="AX249" s="176"/>
      <c r="AY249" s="176"/>
      <c r="AZ249" s="176"/>
      <c r="BA249" s="176"/>
      <c r="BB249" s="176"/>
      <c r="BC249" s="176"/>
      <c r="BD249" s="176"/>
      <c r="BE249" s="176"/>
      <c r="BF249" s="176"/>
      <c r="BG249" s="176"/>
      <c r="BH249" s="176"/>
      <c r="BI249" s="176"/>
      <c r="BJ249" s="176"/>
      <c r="BK249" s="211"/>
      <c r="BL249" s="211"/>
      <c r="BM249" s="184"/>
      <c r="BN249" s="184"/>
      <c r="BO249" s="184"/>
      <c r="BP249" s="184"/>
      <c r="BQ249" s="184"/>
      <c r="BR249" s="184"/>
      <c r="BS249" s="184"/>
      <c r="BT249" s="184"/>
      <c r="BU249" s="184"/>
    </row>
    <row r="250" spans="3:73" s="759" customFormat="1" ht="15">
      <c r="C250" s="760"/>
      <c r="G250" s="763"/>
      <c r="K250" s="762"/>
      <c r="O250" s="763"/>
      <c r="X250" s="184"/>
      <c r="Y250" s="184"/>
      <c r="Z250" s="184"/>
      <c r="AA250" s="184"/>
      <c r="AB250" s="184"/>
      <c r="AC250" s="184"/>
      <c r="AD250" s="184"/>
      <c r="AE250" s="184"/>
      <c r="AF250" s="184"/>
      <c r="AG250" s="184"/>
      <c r="AH250" s="184"/>
      <c r="AI250" s="185"/>
      <c r="AJ250" s="185"/>
      <c r="AK250" s="185"/>
      <c r="AL250" s="185"/>
      <c r="AM250" s="185"/>
      <c r="AN250" s="185"/>
      <c r="AO250" s="209"/>
      <c r="AP250" s="185"/>
      <c r="AQ250" s="185"/>
      <c r="AR250" s="185"/>
      <c r="AS250" s="210"/>
      <c r="AT250" s="176"/>
      <c r="AU250" s="176"/>
      <c r="AV250" s="176"/>
      <c r="AW250" s="176"/>
      <c r="AX250" s="176"/>
      <c r="AY250" s="176"/>
      <c r="AZ250" s="176"/>
      <c r="BA250" s="176"/>
      <c r="BB250" s="176"/>
      <c r="BC250" s="176"/>
      <c r="BD250" s="176"/>
      <c r="BE250" s="176"/>
      <c r="BF250" s="176"/>
      <c r="BG250" s="176"/>
      <c r="BH250" s="176"/>
      <c r="BI250" s="176"/>
      <c r="BJ250" s="176"/>
      <c r="BK250" s="211"/>
      <c r="BL250" s="211"/>
      <c r="BM250" s="184"/>
      <c r="BN250" s="184"/>
      <c r="BO250" s="184"/>
      <c r="BP250" s="184"/>
      <c r="BQ250" s="184"/>
      <c r="BR250" s="184"/>
      <c r="BS250" s="184"/>
      <c r="BT250" s="184"/>
      <c r="BU250" s="184"/>
    </row>
    <row r="251" spans="3:73" s="759" customFormat="1" ht="15">
      <c r="C251" s="760"/>
      <c r="G251" s="763"/>
      <c r="K251" s="762"/>
      <c r="O251" s="763"/>
      <c r="X251" s="184"/>
      <c r="Y251" s="184"/>
      <c r="Z251" s="184"/>
      <c r="AA251" s="184"/>
      <c r="AB251" s="184"/>
      <c r="AC251" s="184"/>
      <c r="AD251" s="184"/>
      <c r="AE251" s="184"/>
      <c r="AF251" s="184"/>
      <c r="AG251" s="184"/>
      <c r="AH251" s="184"/>
      <c r="AI251" s="185"/>
      <c r="AJ251" s="185"/>
      <c r="AK251" s="185"/>
      <c r="AL251" s="185"/>
      <c r="AM251" s="185"/>
      <c r="AN251" s="185"/>
      <c r="AO251" s="209"/>
      <c r="AP251" s="185"/>
      <c r="AQ251" s="185"/>
      <c r="AR251" s="185"/>
      <c r="AS251" s="210"/>
      <c r="AT251" s="176"/>
      <c r="AU251" s="176"/>
      <c r="AV251" s="176"/>
      <c r="AW251" s="176"/>
      <c r="AX251" s="176"/>
      <c r="AY251" s="176"/>
      <c r="AZ251" s="176"/>
      <c r="BA251" s="176"/>
      <c r="BB251" s="176"/>
      <c r="BC251" s="176"/>
      <c r="BD251" s="176"/>
      <c r="BE251" s="176"/>
      <c r="BF251" s="176"/>
      <c r="BG251" s="176"/>
      <c r="BH251" s="176"/>
      <c r="BI251" s="176"/>
      <c r="BJ251" s="176"/>
      <c r="BK251" s="211"/>
      <c r="BL251" s="211"/>
      <c r="BM251" s="184"/>
      <c r="BN251" s="184"/>
      <c r="BO251" s="184"/>
      <c r="BP251" s="184"/>
      <c r="BQ251" s="184"/>
      <c r="BR251" s="184"/>
      <c r="BS251" s="184"/>
      <c r="BT251" s="184"/>
      <c r="BU251" s="184"/>
    </row>
    <row r="252" spans="3:73" s="759" customFormat="1" ht="15">
      <c r="C252" s="760"/>
      <c r="G252" s="763"/>
      <c r="K252" s="762"/>
      <c r="O252" s="763"/>
      <c r="X252" s="184"/>
      <c r="Y252" s="184"/>
      <c r="Z252" s="184"/>
      <c r="AA252" s="184"/>
      <c r="AB252" s="184"/>
      <c r="AC252" s="184"/>
      <c r="AD252" s="184"/>
      <c r="AE252" s="184"/>
      <c r="AF252" s="184"/>
      <c r="AG252" s="184"/>
      <c r="AH252" s="184"/>
      <c r="AI252" s="185"/>
      <c r="AJ252" s="185"/>
      <c r="AK252" s="185"/>
      <c r="AL252" s="185"/>
      <c r="AM252" s="185"/>
      <c r="AN252" s="185"/>
      <c r="AO252" s="209"/>
      <c r="AP252" s="185"/>
      <c r="AQ252" s="185"/>
      <c r="AR252" s="185"/>
      <c r="AS252" s="210"/>
      <c r="AT252" s="176"/>
      <c r="AU252" s="176"/>
      <c r="AV252" s="176"/>
      <c r="AW252" s="176"/>
      <c r="AX252" s="176"/>
      <c r="AY252" s="176"/>
      <c r="AZ252" s="176"/>
      <c r="BA252" s="176"/>
      <c r="BB252" s="176"/>
      <c r="BC252" s="176"/>
      <c r="BD252" s="176"/>
      <c r="BE252" s="176"/>
      <c r="BF252" s="176"/>
      <c r="BG252" s="176"/>
      <c r="BH252" s="176"/>
      <c r="BI252" s="176"/>
      <c r="BJ252" s="176"/>
      <c r="BK252" s="211"/>
      <c r="BL252" s="211"/>
      <c r="BM252" s="184"/>
      <c r="BN252" s="184"/>
      <c r="BO252" s="184"/>
      <c r="BP252" s="184"/>
      <c r="BQ252" s="184"/>
      <c r="BR252" s="184"/>
      <c r="BS252" s="184"/>
      <c r="BT252" s="184"/>
      <c r="BU252" s="184"/>
    </row>
    <row r="253" spans="3:73" s="759" customFormat="1" ht="15">
      <c r="C253" s="760"/>
      <c r="G253" s="763"/>
      <c r="K253" s="762"/>
      <c r="O253" s="763"/>
      <c r="X253" s="184"/>
      <c r="Y253" s="184"/>
      <c r="Z253" s="184"/>
      <c r="AA253" s="184"/>
      <c r="AB253" s="184"/>
      <c r="AC253" s="184"/>
      <c r="AD253" s="184"/>
      <c r="AE253" s="184"/>
      <c r="AF253" s="184"/>
      <c r="AG253" s="184"/>
      <c r="AH253" s="184"/>
      <c r="AI253" s="185"/>
      <c r="AJ253" s="185"/>
      <c r="AK253" s="185"/>
      <c r="AL253" s="185"/>
      <c r="AM253" s="185"/>
      <c r="AN253" s="185"/>
      <c r="AO253" s="209"/>
      <c r="AP253" s="185"/>
      <c r="AQ253" s="185"/>
      <c r="AR253" s="185"/>
      <c r="AS253" s="210"/>
      <c r="AT253" s="176"/>
      <c r="AU253" s="176"/>
      <c r="AV253" s="176"/>
      <c r="AW253" s="176"/>
      <c r="AX253" s="176"/>
      <c r="AY253" s="176"/>
      <c r="AZ253" s="176"/>
      <c r="BA253" s="176"/>
      <c r="BB253" s="176"/>
      <c r="BC253" s="176"/>
      <c r="BD253" s="176"/>
      <c r="BE253" s="176"/>
      <c r="BF253" s="176"/>
      <c r="BG253" s="176"/>
      <c r="BH253" s="176"/>
      <c r="BI253" s="176"/>
      <c r="BJ253" s="176"/>
      <c r="BK253" s="211"/>
      <c r="BL253" s="211"/>
      <c r="BM253" s="184"/>
      <c r="BN253" s="184"/>
      <c r="BO253" s="184"/>
      <c r="BP253" s="184"/>
      <c r="BQ253" s="184"/>
      <c r="BR253" s="184"/>
      <c r="BS253" s="184"/>
      <c r="BT253" s="184"/>
      <c r="BU253" s="184"/>
    </row>
    <row r="254" spans="3:73" s="759" customFormat="1" ht="15">
      <c r="C254" s="760"/>
      <c r="G254" s="763"/>
      <c r="K254" s="762"/>
      <c r="O254" s="763"/>
      <c r="X254" s="184"/>
      <c r="Y254" s="184"/>
      <c r="Z254" s="184"/>
      <c r="AA254" s="184"/>
      <c r="AB254" s="184"/>
      <c r="AC254" s="184"/>
      <c r="AD254" s="184"/>
      <c r="AE254" s="184"/>
      <c r="AF254" s="184"/>
      <c r="AG254" s="184"/>
      <c r="AH254" s="184"/>
      <c r="AI254" s="185"/>
      <c r="AJ254" s="185"/>
      <c r="AK254" s="185"/>
      <c r="AL254" s="185"/>
      <c r="AM254" s="185"/>
      <c r="AN254" s="185"/>
      <c r="AO254" s="209"/>
      <c r="AP254" s="185"/>
      <c r="AQ254" s="185"/>
      <c r="AR254" s="185"/>
      <c r="AS254" s="210"/>
      <c r="AT254" s="176"/>
      <c r="AU254" s="176"/>
      <c r="AV254" s="176"/>
      <c r="AW254" s="176"/>
      <c r="AX254" s="176"/>
      <c r="AY254" s="176"/>
      <c r="AZ254" s="176"/>
      <c r="BA254" s="176"/>
      <c r="BB254" s="176"/>
      <c r="BC254" s="176"/>
      <c r="BD254" s="176"/>
      <c r="BE254" s="176"/>
      <c r="BF254" s="176"/>
      <c r="BG254" s="176"/>
      <c r="BH254" s="176"/>
      <c r="BI254" s="176"/>
      <c r="BJ254" s="176"/>
      <c r="BK254" s="211"/>
      <c r="BL254" s="211"/>
      <c r="BM254" s="184"/>
      <c r="BN254" s="184"/>
      <c r="BO254" s="184"/>
      <c r="BP254" s="184"/>
      <c r="BQ254" s="184"/>
      <c r="BR254" s="184"/>
      <c r="BS254" s="184"/>
      <c r="BT254" s="184"/>
      <c r="BU254" s="184"/>
    </row>
    <row r="255" spans="3:73" s="759" customFormat="1" ht="15">
      <c r="C255" s="760"/>
      <c r="G255" s="763"/>
      <c r="K255" s="762"/>
      <c r="O255" s="763"/>
      <c r="X255" s="184"/>
      <c r="Y255" s="184"/>
      <c r="Z255" s="184"/>
      <c r="AA255" s="184"/>
      <c r="AB255" s="184"/>
      <c r="AC255" s="184"/>
      <c r="AD255" s="184"/>
      <c r="AE255" s="184"/>
      <c r="AF255" s="184"/>
      <c r="AG255" s="184"/>
      <c r="AH255" s="184"/>
      <c r="AI255" s="185"/>
      <c r="AJ255" s="185"/>
      <c r="AK255" s="185"/>
      <c r="AL255" s="185"/>
      <c r="AM255" s="185"/>
      <c r="AN255" s="185"/>
      <c r="AO255" s="209"/>
      <c r="AP255" s="185"/>
      <c r="AQ255" s="185"/>
      <c r="AR255" s="185"/>
      <c r="AS255" s="210"/>
      <c r="AT255" s="176"/>
      <c r="AU255" s="176"/>
      <c r="AV255" s="176"/>
      <c r="AW255" s="176"/>
      <c r="AX255" s="176"/>
      <c r="AY255" s="176"/>
      <c r="AZ255" s="176"/>
      <c r="BA255" s="176"/>
      <c r="BB255" s="176"/>
      <c r="BC255" s="176"/>
      <c r="BD255" s="176"/>
      <c r="BE255" s="176"/>
      <c r="BF255" s="176"/>
      <c r="BG255" s="176"/>
      <c r="BH255" s="176"/>
      <c r="BI255" s="176"/>
      <c r="BJ255" s="176"/>
      <c r="BK255" s="211"/>
      <c r="BL255" s="211"/>
      <c r="BM255" s="184"/>
      <c r="BN255" s="184"/>
      <c r="BO255" s="184"/>
      <c r="BP255" s="184"/>
      <c r="BQ255" s="184"/>
      <c r="BR255" s="184"/>
      <c r="BS255" s="184"/>
      <c r="BT255" s="184"/>
      <c r="BU255" s="184"/>
    </row>
    <row r="256" spans="3:73" s="759" customFormat="1" ht="15">
      <c r="C256" s="760"/>
      <c r="G256" s="763"/>
      <c r="K256" s="762"/>
      <c r="O256" s="763"/>
      <c r="X256" s="184"/>
      <c r="Y256" s="184"/>
      <c r="Z256" s="184"/>
      <c r="AA256" s="184"/>
      <c r="AB256" s="184"/>
      <c r="AC256" s="184"/>
      <c r="AD256" s="184"/>
      <c r="AE256" s="184"/>
      <c r="AF256" s="184"/>
      <c r="AG256" s="184"/>
      <c r="AH256" s="184"/>
      <c r="AI256" s="185"/>
      <c r="AJ256" s="185"/>
      <c r="AK256" s="185"/>
      <c r="AL256" s="185"/>
      <c r="AM256" s="185"/>
      <c r="AN256" s="185"/>
      <c r="AO256" s="209"/>
      <c r="AP256" s="185"/>
      <c r="AQ256" s="185"/>
      <c r="AR256" s="185"/>
      <c r="AS256" s="210"/>
      <c r="AT256" s="176"/>
      <c r="AU256" s="176"/>
      <c r="AV256" s="176"/>
      <c r="AW256" s="176"/>
      <c r="AX256" s="176"/>
      <c r="AY256" s="176"/>
      <c r="AZ256" s="176"/>
      <c r="BA256" s="176"/>
      <c r="BB256" s="176"/>
      <c r="BC256" s="176"/>
      <c r="BD256" s="176"/>
      <c r="BE256" s="176"/>
      <c r="BF256" s="176"/>
      <c r="BG256" s="176"/>
      <c r="BH256" s="176"/>
      <c r="BI256" s="176"/>
      <c r="BJ256" s="176"/>
      <c r="BK256" s="211"/>
      <c r="BL256" s="211"/>
      <c r="BM256" s="184"/>
      <c r="BN256" s="184"/>
      <c r="BO256" s="184"/>
      <c r="BP256" s="184"/>
      <c r="BQ256" s="184"/>
      <c r="BR256" s="184"/>
      <c r="BS256" s="184"/>
      <c r="BT256" s="184"/>
      <c r="BU256" s="184"/>
    </row>
    <row r="257" spans="3:73" s="759" customFormat="1" ht="15">
      <c r="C257" s="760"/>
      <c r="G257" s="763"/>
      <c r="K257" s="762"/>
      <c r="O257" s="763"/>
      <c r="X257" s="184"/>
      <c r="Y257" s="184"/>
      <c r="Z257" s="184"/>
      <c r="AA257" s="184"/>
      <c r="AB257" s="184"/>
      <c r="AC257" s="184"/>
      <c r="AD257" s="184"/>
      <c r="AE257" s="184"/>
      <c r="AF257" s="184"/>
      <c r="AG257" s="184"/>
      <c r="AH257" s="184"/>
      <c r="AI257" s="185"/>
      <c r="AJ257" s="185"/>
      <c r="AK257" s="185"/>
      <c r="AL257" s="185"/>
      <c r="AM257" s="185"/>
      <c r="AN257" s="185"/>
      <c r="AO257" s="209"/>
      <c r="AP257" s="185"/>
      <c r="AQ257" s="185"/>
      <c r="AR257" s="185"/>
      <c r="AS257" s="210"/>
      <c r="AT257" s="176"/>
      <c r="AU257" s="176"/>
      <c r="AV257" s="176"/>
      <c r="AW257" s="176"/>
      <c r="AX257" s="176"/>
      <c r="AY257" s="176"/>
      <c r="AZ257" s="176"/>
      <c r="BA257" s="176"/>
      <c r="BB257" s="176"/>
      <c r="BC257" s="176"/>
      <c r="BD257" s="176"/>
      <c r="BE257" s="176"/>
      <c r="BF257" s="176"/>
      <c r="BG257" s="176"/>
      <c r="BH257" s="176"/>
      <c r="BI257" s="176"/>
      <c r="BJ257" s="176"/>
      <c r="BK257" s="211"/>
      <c r="BL257" s="211"/>
      <c r="BM257" s="184"/>
      <c r="BN257" s="184"/>
      <c r="BO257" s="184"/>
      <c r="BP257" s="184"/>
      <c r="BQ257" s="184"/>
      <c r="BR257" s="184"/>
      <c r="BS257" s="184"/>
      <c r="BT257" s="184"/>
      <c r="BU257" s="184"/>
    </row>
    <row r="258" spans="3:73" s="759" customFormat="1" ht="15">
      <c r="C258" s="760"/>
      <c r="G258" s="763"/>
      <c r="K258" s="762"/>
      <c r="O258" s="763"/>
      <c r="X258" s="184"/>
      <c r="Y258" s="184"/>
      <c r="Z258" s="184"/>
      <c r="AA258" s="184"/>
      <c r="AB258" s="184"/>
      <c r="AC258" s="184"/>
      <c r="AD258" s="184"/>
      <c r="AE258" s="184"/>
      <c r="AF258" s="184"/>
      <c r="AG258" s="184"/>
      <c r="AH258" s="184"/>
      <c r="AI258" s="185"/>
      <c r="AJ258" s="185"/>
      <c r="AK258" s="185"/>
      <c r="AL258" s="185"/>
      <c r="AM258" s="185"/>
      <c r="AN258" s="185"/>
      <c r="AO258" s="209"/>
      <c r="AP258" s="185"/>
      <c r="AQ258" s="185"/>
      <c r="AR258" s="185"/>
      <c r="AS258" s="210"/>
      <c r="AT258" s="176"/>
      <c r="AU258" s="176"/>
      <c r="AV258" s="176"/>
      <c r="AW258" s="176"/>
      <c r="AX258" s="176"/>
      <c r="AY258" s="176"/>
      <c r="AZ258" s="176"/>
      <c r="BA258" s="176"/>
      <c r="BB258" s="176"/>
      <c r="BC258" s="176"/>
      <c r="BD258" s="176"/>
      <c r="BE258" s="176"/>
      <c r="BF258" s="176"/>
      <c r="BG258" s="176"/>
      <c r="BH258" s="176"/>
      <c r="BI258" s="176"/>
      <c r="BJ258" s="176"/>
      <c r="BK258" s="211"/>
      <c r="BL258" s="211"/>
      <c r="BM258" s="184"/>
      <c r="BN258" s="184"/>
      <c r="BO258" s="184"/>
      <c r="BP258" s="184"/>
      <c r="BQ258" s="184"/>
      <c r="BR258" s="184"/>
      <c r="BS258" s="184"/>
      <c r="BT258" s="184"/>
      <c r="BU258" s="184"/>
    </row>
    <row r="259" spans="3:73" s="759" customFormat="1" ht="15">
      <c r="C259" s="760"/>
      <c r="G259" s="763"/>
      <c r="K259" s="762"/>
      <c r="O259" s="763"/>
      <c r="X259" s="184"/>
      <c r="Y259" s="184"/>
      <c r="Z259" s="184"/>
      <c r="AA259" s="184"/>
      <c r="AB259" s="184"/>
      <c r="AC259" s="184"/>
      <c r="AD259" s="184"/>
      <c r="AE259" s="184"/>
      <c r="AF259" s="184"/>
      <c r="AG259" s="184"/>
      <c r="AH259" s="184"/>
      <c r="AI259" s="185"/>
      <c r="AJ259" s="185"/>
      <c r="AK259" s="185"/>
      <c r="AL259" s="185"/>
      <c r="AM259" s="185"/>
      <c r="AN259" s="185"/>
      <c r="AO259" s="209"/>
      <c r="AP259" s="185"/>
      <c r="AQ259" s="185"/>
      <c r="AR259" s="185"/>
      <c r="AS259" s="210"/>
      <c r="AT259" s="176"/>
      <c r="AU259" s="176"/>
      <c r="AV259" s="176"/>
      <c r="AW259" s="176"/>
      <c r="AX259" s="176"/>
      <c r="AY259" s="176"/>
      <c r="AZ259" s="176"/>
      <c r="BA259" s="176"/>
      <c r="BB259" s="176"/>
      <c r="BC259" s="176"/>
      <c r="BD259" s="176"/>
      <c r="BE259" s="176"/>
      <c r="BF259" s="176"/>
      <c r="BG259" s="176"/>
      <c r="BH259" s="176"/>
      <c r="BI259" s="176"/>
      <c r="BJ259" s="176"/>
      <c r="BK259" s="211"/>
      <c r="BL259" s="211"/>
      <c r="BM259" s="184"/>
      <c r="BN259" s="184"/>
      <c r="BO259" s="184"/>
      <c r="BP259" s="184"/>
      <c r="BQ259" s="184"/>
      <c r="BR259" s="184"/>
      <c r="BS259" s="184"/>
      <c r="BT259" s="184"/>
      <c r="BU259" s="184"/>
    </row>
    <row r="260" spans="3:73" s="759" customFormat="1" ht="15">
      <c r="C260" s="760"/>
      <c r="G260" s="763"/>
      <c r="K260" s="762"/>
      <c r="O260" s="763"/>
      <c r="X260" s="184"/>
      <c r="Y260" s="184"/>
      <c r="Z260" s="184"/>
      <c r="AA260" s="184"/>
      <c r="AB260" s="184"/>
      <c r="AC260" s="184"/>
      <c r="AD260" s="184"/>
      <c r="AE260" s="184"/>
      <c r="AF260" s="184"/>
      <c r="AG260" s="184"/>
      <c r="AH260" s="184"/>
      <c r="AI260" s="185"/>
      <c r="AJ260" s="185"/>
      <c r="AK260" s="185"/>
      <c r="AL260" s="185"/>
      <c r="AM260" s="185"/>
      <c r="AN260" s="185"/>
      <c r="AO260" s="209"/>
      <c r="AP260" s="185"/>
      <c r="AQ260" s="185"/>
      <c r="AR260" s="185"/>
      <c r="AS260" s="210"/>
      <c r="AT260" s="176"/>
      <c r="AU260" s="176"/>
      <c r="AV260" s="176"/>
      <c r="AW260" s="176"/>
      <c r="AX260" s="176"/>
      <c r="AY260" s="176"/>
      <c r="AZ260" s="176"/>
      <c r="BA260" s="176"/>
      <c r="BB260" s="176"/>
      <c r="BC260" s="176"/>
      <c r="BD260" s="176"/>
      <c r="BE260" s="176"/>
      <c r="BF260" s="176"/>
      <c r="BG260" s="176"/>
      <c r="BH260" s="176"/>
      <c r="BI260" s="176"/>
      <c r="BJ260" s="176"/>
      <c r="BK260" s="211"/>
      <c r="BL260" s="211"/>
      <c r="BM260" s="184"/>
      <c r="BN260" s="184"/>
      <c r="BO260" s="184"/>
      <c r="BP260" s="184"/>
      <c r="BQ260" s="184"/>
      <c r="BR260" s="184"/>
      <c r="BS260" s="184"/>
      <c r="BT260" s="184"/>
      <c r="BU260" s="184"/>
    </row>
    <row r="261" spans="3:73" s="759" customFormat="1" ht="15">
      <c r="C261" s="760"/>
      <c r="G261" s="763"/>
      <c r="K261" s="762"/>
      <c r="O261" s="763"/>
      <c r="X261" s="184"/>
      <c r="Y261" s="184"/>
      <c r="Z261" s="184"/>
      <c r="AA261" s="184"/>
      <c r="AB261" s="184"/>
      <c r="AC261" s="184"/>
      <c r="AD261" s="184"/>
      <c r="AE261" s="184"/>
      <c r="AF261" s="184"/>
      <c r="AG261" s="184"/>
      <c r="AH261" s="184"/>
      <c r="AI261" s="185"/>
      <c r="AJ261" s="185"/>
      <c r="AK261" s="185"/>
      <c r="AL261" s="185"/>
      <c r="AM261" s="185"/>
      <c r="AN261" s="185"/>
      <c r="AO261" s="209"/>
      <c r="AP261" s="185"/>
      <c r="AQ261" s="185"/>
      <c r="AR261" s="185"/>
      <c r="AS261" s="210"/>
      <c r="AT261" s="176"/>
      <c r="AU261" s="176"/>
      <c r="AV261" s="176"/>
      <c r="AW261" s="176"/>
      <c r="AX261" s="176"/>
      <c r="AY261" s="176"/>
      <c r="AZ261" s="176"/>
      <c r="BA261" s="176"/>
      <c r="BB261" s="176"/>
      <c r="BC261" s="176"/>
      <c r="BD261" s="176"/>
      <c r="BE261" s="176"/>
      <c r="BF261" s="176"/>
      <c r="BG261" s="176"/>
      <c r="BH261" s="176"/>
      <c r="BI261" s="176"/>
      <c r="BJ261" s="176"/>
      <c r="BK261" s="211"/>
      <c r="BL261" s="211"/>
      <c r="BM261" s="184"/>
      <c r="BN261" s="184"/>
      <c r="BO261" s="184"/>
      <c r="BP261" s="184"/>
      <c r="BQ261" s="184"/>
      <c r="BR261" s="184"/>
      <c r="BS261" s="184"/>
      <c r="BT261" s="184"/>
      <c r="BU261" s="184"/>
    </row>
    <row r="262" spans="3:73" s="759" customFormat="1" ht="15">
      <c r="C262" s="760"/>
      <c r="G262" s="763"/>
      <c r="K262" s="762"/>
      <c r="O262" s="763"/>
      <c r="X262" s="184"/>
      <c r="Y262" s="184"/>
      <c r="Z262" s="184"/>
      <c r="AA262" s="184"/>
      <c r="AB262" s="184"/>
      <c r="AC262" s="184"/>
      <c r="AD262" s="184"/>
      <c r="AE262" s="184"/>
      <c r="AF262" s="184"/>
      <c r="AG262" s="184"/>
      <c r="AH262" s="184"/>
      <c r="AI262" s="185"/>
      <c r="AJ262" s="185"/>
      <c r="AK262" s="185"/>
      <c r="AL262" s="185"/>
      <c r="AM262" s="185"/>
      <c r="AN262" s="185"/>
      <c r="AO262" s="209"/>
      <c r="AP262" s="185"/>
      <c r="AQ262" s="185"/>
      <c r="AR262" s="185"/>
      <c r="AS262" s="210"/>
      <c r="AT262" s="176"/>
      <c r="AU262" s="176"/>
      <c r="AV262" s="176"/>
      <c r="AW262" s="176"/>
      <c r="AX262" s="176"/>
      <c r="AY262" s="176"/>
      <c r="AZ262" s="176"/>
      <c r="BA262" s="176"/>
      <c r="BB262" s="176"/>
      <c r="BC262" s="176"/>
      <c r="BD262" s="176"/>
      <c r="BE262" s="176"/>
      <c r="BF262" s="176"/>
      <c r="BG262" s="176"/>
      <c r="BH262" s="176"/>
      <c r="BI262" s="176"/>
      <c r="BJ262" s="176"/>
      <c r="BK262" s="211"/>
      <c r="BL262" s="211"/>
      <c r="BM262" s="184"/>
      <c r="BN262" s="184"/>
      <c r="BO262" s="184"/>
      <c r="BP262" s="184"/>
      <c r="BQ262" s="184"/>
      <c r="BR262" s="184"/>
      <c r="BS262" s="184"/>
      <c r="BT262" s="184"/>
      <c r="BU262" s="184"/>
    </row>
    <row r="263" spans="3:73" s="759" customFormat="1" ht="15">
      <c r="C263" s="760"/>
      <c r="G263" s="763"/>
      <c r="K263" s="762"/>
      <c r="O263" s="763"/>
      <c r="X263" s="184"/>
      <c r="Y263" s="184"/>
      <c r="Z263" s="184"/>
      <c r="AA263" s="184"/>
      <c r="AB263" s="184"/>
      <c r="AC263" s="184"/>
      <c r="AD263" s="184"/>
      <c r="AE263" s="184"/>
      <c r="AF263" s="184"/>
      <c r="AG263" s="184"/>
      <c r="AH263" s="184"/>
      <c r="AI263" s="185"/>
      <c r="AJ263" s="185"/>
      <c r="AK263" s="185"/>
      <c r="AL263" s="185"/>
      <c r="AM263" s="185"/>
      <c r="AN263" s="185"/>
      <c r="AO263" s="209"/>
      <c r="AP263" s="185"/>
      <c r="AQ263" s="185"/>
      <c r="AR263" s="185"/>
      <c r="AS263" s="210"/>
      <c r="AT263" s="176"/>
      <c r="AU263" s="176"/>
      <c r="AV263" s="176"/>
      <c r="AW263" s="176"/>
      <c r="AX263" s="176"/>
      <c r="AY263" s="176"/>
      <c r="AZ263" s="176"/>
      <c r="BA263" s="176"/>
      <c r="BB263" s="176"/>
      <c r="BC263" s="176"/>
      <c r="BD263" s="176"/>
      <c r="BE263" s="176"/>
      <c r="BF263" s="176"/>
      <c r="BG263" s="176"/>
      <c r="BH263" s="176"/>
      <c r="BI263" s="176"/>
      <c r="BJ263" s="176"/>
      <c r="BK263" s="211"/>
      <c r="BL263" s="211"/>
      <c r="BM263" s="184"/>
      <c r="BN263" s="184"/>
      <c r="BO263" s="184"/>
      <c r="BP263" s="184"/>
      <c r="BQ263" s="184"/>
      <c r="BR263" s="184"/>
      <c r="BS263" s="184"/>
      <c r="BT263" s="184"/>
      <c r="BU263" s="184"/>
    </row>
    <row r="264" spans="3:73" s="759" customFormat="1" ht="15">
      <c r="C264" s="760"/>
      <c r="G264" s="763"/>
      <c r="K264" s="762"/>
      <c r="O264" s="763"/>
      <c r="X264" s="184"/>
      <c r="Y264" s="184"/>
      <c r="Z264" s="184"/>
      <c r="AA264" s="184"/>
      <c r="AB264" s="184"/>
      <c r="AC264" s="184"/>
      <c r="AD264" s="184"/>
      <c r="AE264" s="184"/>
      <c r="AF264" s="184"/>
      <c r="AG264" s="184"/>
      <c r="AH264" s="184"/>
      <c r="AI264" s="185"/>
      <c r="AJ264" s="185"/>
      <c r="AK264" s="185"/>
      <c r="AL264" s="185"/>
      <c r="AM264" s="185"/>
      <c r="AN264" s="185"/>
      <c r="AO264" s="209"/>
      <c r="AP264" s="185"/>
      <c r="AQ264" s="185"/>
      <c r="AR264" s="185"/>
      <c r="AS264" s="210"/>
      <c r="AT264" s="176"/>
      <c r="AU264" s="176"/>
      <c r="AV264" s="176"/>
      <c r="AW264" s="176"/>
      <c r="AX264" s="176"/>
      <c r="AY264" s="176"/>
      <c r="AZ264" s="176"/>
      <c r="BA264" s="176"/>
      <c r="BB264" s="176"/>
      <c r="BC264" s="176"/>
      <c r="BD264" s="176"/>
      <c r="BE264" s="176"/>
      <c r="BF264" s="176"/>
      <c r="BG264" s="176"/>
      <c r="BH264" s="176"/>
      <c r="BI264" s="176"/>
      <c r="BJ264" s="176"/>
      <c r="BK264" s="211"/>
      <c r="BL264" s="211"/>
      <c r="BM264" s="184"/>
      <c r="BN264" s="184"/>
      <c r="BO264" s="184"/>
      <c r="BP264" s="184"/>
      <c r="BQ264" s="184"/>
      <c r="BR264" s="184"/>
      <c r="BS264" s="184"/>
      <c r="BT264" s="184"/>
      <c r="BU264" s="184"/>
    </row>
    <row r="265" spans="3:73" s="759" customFormat="1" ht="15">
      <c r="C265" s="760"/>
      <c r="G265" s="763"/>
      <c r="K265" s="762"/>
      <c r="O265" s="763"/>
      <c r="X265" s="184"/>
      <c r="Y265" s="184"/>
      <c r="Z265" s="184"/>
      <c r="AA265" s="184"/>
      <c r="AB265" s="184"/>
      <c r="AC265" s="184"/>
      <c r="AD265" s="184"/>
      <c r="AE265" s="184"/>
      <c r="AF265" s="184"/>
      <c r="AG265" s="184"/>
      <c r="AH265" s="184"/>
      <c r="AI265" s="185"/>
      <c r="AJ265" s="185"/>
      <c r="AK265" s="185"/>
      <c r="AL265" s="185"/>
      <c r="AM265" s="185"/>
      <c r="AN265" s="185"/>
      <c r="AO265" s="209"/>
      <c r="AP265" s="185"/>
      <c r="AQ265" s="185"/>
      <c r="AR265" s="185"/>
      <c r="AS265" s="210"/>
      <c r="AT265" s="176"/>
      <c r="AU265" s="176"/>
      <c r="AV265" s="176"/>
      <c r="AW265" s="176"/>
      <c r="AX265" s="176"/>
      <c r="AY265" s="176"/>
      <c r="AZ265" s="176"/>
      <c r="BA265" s="176"/>
      <c r="BB265" s="176"/>
      <c r="BC265" s="176"/>
      <c r="BD265" s="176"/>
      <c r="BE265" s="176"/>
      <c r="BF265" s="176"/>
      <c r="BG265" s="176"/>
      <c r="BH265" s="176"/>
      <c r="BI265" s="176"/>
      <c r="BJ265" s="176"/>
      <c r="BK265" s="211"/>
      <c r="BL265" s="211"/>
      <c r="BM265" s="184"/>
      <c r="BN265" s="184"/>
      <c r="BO265" s="184"/>
      <c r="BP265" s="184"/>
      <c r="BQ265" s="184"/>
      <c r="BR265" s="184"/>
      <c r="BS265" s="184"/>
      <c r="BT265" s="184"/>
      <c r="BU265" s="184"/>
    </row>
    <row r="266" spans="3:73" s="759" customFormat="1" ht="15">
      <c r="C266" s="760"/>
      <c r="G266" s="763"/>
      <c r="K266" s="762"/>
      <c r="O266" s="763"/>
      <c r="X266" s="184"/>
      <c r="Y266" s="184"/>
      <c r="Z266" s="184"/>
      <c r="AA266" s="184"/>
      <c r="AB266" s="184"/>
      <c r="AC266" s="184"/>
      <c r="AD266" s="184"/>
      <c r="AE266" s="184"/>
      <c r="AF266" s="184"/>
      <c r="AG266" s="184"/>
      <c r="AH266" s="184"/>
      <c r="AI266" s="185"/>
      <c r="AJ266" s="185"/>
      <c r="AK266" s="185"/>
      <c r="AL266" s="185"/>
      <c r="AM266" s="185"/>
      <c r="AN266" s="185"/>
      <c r="AO266" s="209"/>
      <c r="AP266" s="185"/>
      <c r="AQ266" s="185"/>
      <c r="AR266" s="185"/>
      <c r="AS266" s="210"/>
      <c r="AT266" s="176"/>
      <c r="AU266" s="176"/>
      <c r="AV266" s="176"/>
      <c r="AW266" s="176"/>
      <c r="AX266" s="176"/>
      <c r="AY266" s="176"/>
      <c r="AZ266" s="176"/>
      <c r="BA266" s="176"/>
      <c r="BB266" s="176"/>
      <c r="BC266" s="176"/>
      <c r="BD266" s="176"/>
      <c r="BE266" s="176"/>
      <c r="BF266" s="176"/>
      <c r="BG266" s="176"/>
      <c r="BH266" s="176"/>
      <c r="BI266" s="176"/>
      <c r="BJ266" s="176"/>
      <c r="BK266" s="211"/>
      <c r="BL266" s="211"/>
      <c r="BM266" s="184"/>
      <c r="BN266" s="184"/>
      <c r="BO266" s="184"/>
      <c r="BP266" s="184"/>
      <c r="BQ266" s="184"/>
      <c r="BR266" s="184"/>
      <c r="BS266" s="184"/>
      <c r="BT266" s="184"/>
      <c r="BU266" s="184"/>
    </row>
    <row r="267" spans="3:73" s="759" customFormat="1" ht="15">
      <c r="C267" s="760"/>
      <c r="G267" s="763"/>
      <c r="K267" s="762"/>
      <c r="O267" s="763"/>
      <c r="X267" s="184"/>
      <c r="Y267" s="184"/>
      <c r="Z267" s="184"/>
      <c r="AA267" s="184"/>
      <c r="AB267" s="184"/>
      <c r="AC267" s="184"/>
      <c r="AD267" s="184"/>
      <c r="AE267" s="184"/>
      <c r="AF267" s="184"/>
      <c r="AG267" s="184"/>
      <c r="AH267" s="184"/>
      <c r="AI267" s="185"/>
      <c r="AJ267" s="185"/>
      <c r="AK267" s="185"/>
      <c r="AL267" s="185"/>
      <c r="AM267" s="185"/>
      <c r="AN267" s="185"/>
      <c r="AO267" s="209"/>
      <c r="AP267" s="185"/>
      <c r="AQ267" s="185"/>
      <c r="AR267" s="185"/>
      <c r="AS267" s="210"/>
      <c r="AT267" s="176"/>
      <c r="AU267" s="176"/>
      <c r="AV267" s="176"/>
      <c r="AW267" s="176"/>
      <c r="AX267" s="176"/>
      <c r="AY267" s="176"/>
      <c r="AZ267" s="176"/>
      <c r="BA267" s="176"/>
      <c r="BB267" s="176"/>
      <c r="BC267" s="176"/>
      <c r="BD267" s="176"/>
      <c r="BE267" s="176"/>
      <c r="BF267" s="176"/>
      <c r="BG267" s="176"/>
      <c r="BH267" s="176"/>
      <c r="BI267" s="176"/>
      <c r="BJ267" s="176"/>
      <c r="BK267" s="211"/>
      <c r="BL267" s="211"/>
      <c r="BM267" s="184"/>
      <c r="BN267" s="184"/>
      <c r="BO267" s="184"/>
      <c r="BP267" s="184"/>
      <c r="BQ267" s="184"/>
      <c r="BR267" s="184"/>
      <c r="BS267" s="184"/>
      <c r="BT267" s="184"/>
      <c r="BU267" s="184"/>
    </row>
    <row r="268" spans="3:73" s="759" customFormat="1" ht="15">
      <c r="C268" s="760"/>
      <c r="G268" s="763"/>
      <c r="K268" s="762"/>
      <c r="O268" s="763"/>
      <c r="X268" s="184"/>
      <c r="Y268" s="184"/>
      <c r="Z268" s="184"/>
      <c r="AA268" s="184"/>
      <c r="AB268" s="184"/>
      <c r="AC268" s="184"/>
      <c r="AD268" s="184"/>
      <c r="AE268" s="184"/>
      <c r="AF268" s="184"/>
      <c r="AG268" s="184"/>
      <c r="AH268" s="184"/>
      <c r="AI268" s="185"/>
      <c r="AJ268" s="185"/>
      <c r="AK268" s="185"/>
      <c r="AL268" s="185"/>
      <c r="AM268" s="185"/>
      <c r="AN268" s="185"/>
      <c r="AO268" s="209"/>
      <c r="AP268" s="185"/>
      <c r="AQ268" s="185"/>
      <c r="AR268" s="185"/>
      <c r="AS268" s="210"/>
      <c r="AT268" s="176"/>
      <c r="AU268" s="176"/>
      <c r="AV268" s="176"/>
      <c r="AW268" s="176"/>
      <c r="AX268" s="176"/>
      <c r="AY268" s="176"/>
      <c r="AZ268" s="176"/>
      <c r="BA268" s="176"/>
      <c r="BB268" s="176"/>
      <c r="BC268" s="176"/>
      <c r="BD268" s="176"/>
      <c r="BE268" s="176"/>
      <c r="BF268" s="176"/>
      <c r="BG268" s="176"/>
      <c r="BH268" s="176"/>
      <c r="BI268" s="176"/>
      <c r="BJ268" s="176"/>
      <c r="BK268" s="211"/>
      <c r="BL268" s="211"/>
      <c r="BM268" s="184"/>
      <c r="BN268" s="184"/>
      <c r="BO268" s="184"/>
      <c r="BP268" s="184"/>
      <c r="BQ268" s="184"/>
      <c r="BR268" s="184"/>
      <c r="BS268" s="184"/>
      <c r="BT268" s="184"/>
      <c r="BU268" s="184"/>
    </row>
    <row r="269" spans="3:73" s="759" customFormat="1" ht="15">
      <c r="C269" s="760"/>
      <c r="G269" s="763"/>
      <c r="K269" s="762"/>
      <c r="O269" s="763"/>
      <c r="X269" s="184"/>
      <c r="Y269" s="184"/>
      <c r="Z269" s="184"/>
      <c r="AA269" s="184"/>
      <c r="AB269" s="184"/>
      <c r="AC269" s="184"/>
      <c r="AD269" s="184"/>
      <c r="AE269" s="184"/>
      <c r="AF269" s="184"/>
      <c r="AG269" s="184"/>
      <c r="AH269" s="184"/>
      <c r="AI269" s="185"/>
      <c r="AJ269" s="185"/>
      <c r="AK269" s="185"/>
      <c r="AL269" s="185"/>
      <c r="AM269" s="185"/>
      <c r="AN269" s="185"/>
      <c r="AO269" s="209"/>
      <c r="AP269" s="185"/>
      <c r="AQ269" s="185"/>
      <c r="AR269" s="185"/>
      <c r="AS269" s="210"/>
      <c r="AT269" s="176"/>
      <c r="AU269" s="176"/>
      <c r="AV269" s="176"/>
      <c r="AW269" s="176"/>
      <c r="AX269" s="176"/>
      <c r="AY269" s="176"/>
      <c r="AZ269" s="176"/>
      <c r="BA269" s="176"/>
      <c r="BB269" s="176"/>
      <c r="BC269" s="176"/>
      <c r="BD269" s="176"/>
      <c r="BE269" s="176"/>
      <c r="BF269" s="176"/>
      <c r="BG269" s="176"/>
      <c r="BH269" s="176"/>
      <c r="BI269" s="176"/>
      <c r="BJ269" s="176"/>
      <c r="BK269" s="211"/>
      <c r="BL269" s="211"/>
      <c r="BM269" s="184"/>
      <c r="BN269" s="184"/>
      <c r="BO269" s="184"/>
      <c r="BP269" s="184"/>
      <c r="BQ269" s="184"/>
      <c r="BR269" s="184"/>
      <c r="BS269" s="184"/>
      <c r="BT269" s="184"/>
      <c r="BU269" s="184"/>
    </row>
    <row r="270" spans="3:73" s="759" customFormat="1" ht="15">
      <c r="C270" s="760"/>
      <c r="G270" s="763"/>
      <c r="K270" s="762"/>
      <c r="O270" s="763"/>
      <c r="X270" s="184"/>
      <c r="Y270" s="184"/>
      <c r="Z270" s="184"/>
      <c r="AA270" s="184"/>
      <c r="AB270" s="184"/>
      <c r="AC270" s="184"/>
      <c r="AD270" s="184"/>
      <c r="AE270" s="184"/>
      <c r="AF270" s="184"/>
      <c r="AG270" s="184"/>
      <c r="AH270" s="184"/>
      <c r="AI270" s="185"/>
      <c r="AJ270" s="185"/>
      <c r="AK270" s="185"/>
      <c r="AL270" s="185"/>
      <c r="AM270" s="185"/>
      <c r="AN270" s="185"/>
      <c r="AO270" s="209"/>
      <c r="AP270" s="185"/>
      <c r="AQ270" s="185"/>
      <c r="AR270" s="185"/>
      <c r="AS270" s="210"/>
      <c r="AT270" s="176"/>
      <c r="AU270" s="176"/>
      <c r="AV270" s="176"/>
      <c r="AW270" s="176"/>
      <c r="AX270" s="176"/>
      <c r="AY270" s="176"/>
      <c r="AZ270" s="176"/>
      <c r="BA270" s="176"/>
      <c r="BB270" s="176"/>
      <c r="BC270" s="176"/>
      <c r="BD270" s="176"/>
      <c r="BE270" s="176"/>
      <c r="BF270" s="176"/>
      <c r="BG270" s="176"/>
      <c r="BH270" s="176"/>
      <c r="BI270" s="176"/>
      <c r="BJ270" s="176"/>
      <c r="BK270" s="211"/>
      <c r="BL270" s="211"/>
      <c r="BM270" s="184"/>
      <c r="BN270" s="184"/>
      <c r="BO270" s="184"/>
      <c r="BP270" s="184"/>
      <c r="BQ270" s="184"/>
      <c r="BR270" s="184"/>
      <c r="BS270" s="184"/>
      <c r="BT270" s="184"/>
      <c r="BU270" s="184"/>
    </row>
    <row r="271" spans="3:73" s="759" customFormat="1" ht="15">
      <c r="C271" s="760"/>
      <c r="G271" s="763"/>
      <c r="K271" s="762"/>
      <c r="O271" s="763"/>
      <c r="X271" s="184"/>
      <c r="Y271" s="184"/>
      <c r="Z271" s="184"/>
      <c r="AA271" s="184"/>
      <c r="AB271" s="184"/>
      <c r="AC271" s="184"/>
      <c r="AD271" s="184"/>
      <c r="AE271" s="184"/>
      <c r="AF271" s="184"/>
      <c r="AG271" s="184"/>
      <c r="AH271" s="184"/>
      <c r="AI271" s="185"/>
      <c r="AJ271" s="185"/>
      <c r="AK271" s="185"/>
      <c r="AL271" s="185"/>
      <c r="AM271" s="185"/>
      <c r="AN271" s="185"/>
      <c r="AO271" s="209"/>
      <c r="AP271" s="185"/>
      <c r="AQ271" s="185"/>
      <c r="AR271" s="185"/>
      <c r="AS271" s="210"/>
      <c r="AT271" s="176"/>
      <c r="AU271" s="176"/>
      <c r="AV271" s="176"/>
      <c r="AW271" s="176"/>
      <c r="AX271" s="176"/>
      <c r="AY271" s="176"/>
      <c r="AZ271" s="176"/>
      <c r="BA271" s="176"/>
      <c r="BB271" s="176"/>
      <c r="BC271" s="176"/>
      <c r="BD271" s="176"/>
      <c r="BE271" s="176"/>
      <c r="BF271" s="176"/>
      <c r="BG271" s="176"/>
      <c r="BH271" s="176"/>
      <c r="BI271" s="176"/>
      <c r="BJ271" s="176"/>
      <c r="BK271" s="211"/>
      <c r="BL271" s="211"/>
      <c r="BM271" s="184"/>
      <c r="BN271" s="184"/>
      <c r="BO271" s="184"/>
      <c r="BP271" s="184"/>
      <c r="BQ271" s="184"/>
      <c r="BR271" s="184"/>
      <c r="BS271" s="184"/>
      <c r="BT271" s="184"/>
      <c r="BU271" s="184"/>
    </row>
    <row r="272" spans="3:73" s="759" customFormat="1" ht="15">
      <c r="C272" s="760"/>
      <c r="G272" s="763"/>
      <c r="K272" s="762"/>
      <c r="O272" s="763"/>
      <c r="X272" s="184"/>
      <c r="Y272" s="184"/>
      <c r="Z272" s="184"/>
      <c r="AA272" s="184"/>
      <c r="AB272" s="184"/>
      <c r="AC272" s="184"/>
      <c r="AD272" s="184"/>
      <c r="AE272" s="184"/>
      <c r="AF272" s="184"/>
      <c r="AG272" s="184"/>
      <c r="AH272" s="184"/>
      <c r="AI272" s="185"/>
      <c r="AJ272" s="185"/>
      <c r="AK272" s="185"/>
      <c r="AL272" s="185"/>
      <c r="AM272" s="185"/>
      <c r="AN272" s="185"/>
      <c r="AO272" s="209"/>
      <c r="AP272" s="185"/>
      <c r="AQ272" s="185"/>
      <c r="AR272" s="185"/>
      <c r="AS272" s="210"/>
      <c r="AT272" s="176"/>
      <c r="AU272" s="176"/>
      <c r="AV272" s="176"/>
      <c r="AW272" s="176"/>
      <c r="AX272" s="176"/>
      <c r="AY272" s="176"/>
      <c r="AZ272" s="176"/>
      <c r="BA272" s="176"/>
      <c r="BB272" s="176"/>
      <c r="BC272" s="176"/>
      <c r="BD272" s="176"/>
      <c r="BE272" s="176"/>
      <c r="BF272" s="176"/>
      <c r="BG272" s="176"/>
      <c r="BH272" s="176"/>
      <c r="BI272" s="176"/>
      <c r="BJ272" s="176"/>
      <c r="BK272" s="211"/>
      <c r="BL272" s="211"/>
      <c r="BM272" s="184"/>
      <c r="BN272" s="184"/>
      <c r="BO272" s="184"/>
      <c r="BP272" s="184"/>
      <c r="BQ272" s="184"/>
      <c r="BR272" s="184"/>
      <c r="BS272" s="184"/>
      <c r="BT272" s="184"/>
      <c r="BU272" s="184"/>
    </row>
    <row r="273" spans="3:73" s="759" customFormat="1" ht="15">
      <c r="C273" s="760"/>
      <c r="G273" s="763"/>
      <c r="K273" s="762"/>
      <c r="O273" s="763"/>
      <c r="X273" s="184"/>
      <c r="Y273" s="184"/>
      <c r="Z273" s="184"/>
      <c r="AA273" s="184"/>
      <c r="AB273" s="184"/>
      <c r="AC273" s="184"/>
      <c r="AD273" s="184"/>
      <c r="AE273" s="184"/>
      <c r="AF273" s="184"/>
      <c r="AG273" s="184"/>
      <c r="AH273" s="184"/>
      <c r="AI273" s="185"/>
      <c r="AJ273" s="185"/>
      <c r="AK273" s="185"/>
      <c r="AL273" s="185"/>
      <c r="AM273" s="185"/>
      <c r="AN273" s="185"/>
      <c r="AO273" s="209"/>
      <c r="AP273" s="185"/>
      <c r="AQ273" s="185"/>
      <c r="AR273" s="185"/>
      <c r="AS273" s="210"/>
      <c r="AT273" s="176"/>
      <c r="AU273" s="176"/>
      <c r="AV273" s="176"/>
      <c r="AW273" s="176"/>
      <c r="AX273" s="176"/>
      <c r="AY273" s="176"/>
      <c r="AZ273" s="176"/>
      <c r="BA273" s="176"/>
      <c r="BB273" s="176"/>
      <c r="BC273" s="176"/>
      <c r="BD273" s="176"/>
      <c r="BE273" s="176"/>
      <c r="BF273" s="176"/>
      <c r="BG273" s="176"/>
      <c r="BH273" s="176"/>
      <c r="BI273" s="176"/>
      <c r="BJ273" s="176"/>
      <c r="BK273" s="211"/>
      <c r="BL273" s="211"/>
      <c r="BM273" s="184"/>
      <c r="BN273" s="184"/>
      <c r="BO273" s="184"/>
      <c r="BP273" s="184"/>
      <c r="BQ273" s="184"/>
      <c r="BR273" s="184"/>
      <c r="BS273" s="184"/>
      <c r="BT273" s="184"/>
      <c r="BU273" s="184"/>
    </row>
    <row r="274" spans="3:73" s="759" customFormat="1" ht="15">
      <c r="C274" s="760"/>
      <c r="G274" s="763"/>
      <c r="K274" s="762"/>
      <c r="O274" s="763"/>
      <c r="X274" s="184"/>
      <c r="Y274" s="184"/>
      <c r="Z274" s="184"/>
      <c r="AA274" s="184"/>
      <c r="AB274" s="184"/>
      <c r="AC274" s="184"/>
      <c r="AD274" s="184"/>
      <c r="AE274" s="184"/>
      <c r="AF274" s="184"/>
      <c r="AG274" s="184"/>
      <c r="AH274" s="184"/>
      <c r="AI274" s="185"/>
      <c r="AJ274" s="185"/>
      <c r="AK274" s="185"/>
      <c r="AL274" s="185"/>
      <c r="AM274" s="185"/>
      <c r="AN274" s="185"/>
      <c r="AO274" s="209"/>
      <c r="AP274" s="185"/>
      <c r="AQ274" s="185"/>
      <c r="AR274" s="185"/>
      <c r="AS274" s="210"/>
      <c r="AT274" s="176"/>
      <c r="AU274" s="176"/>
      <c r="AV274" s="176"/>
      <c r="AW274" s="176"/>
      <c r="AX274" s="176"/>
      <c r="AY274" s="176"/>
      <c r="AZ274" s="176"/>
      <c r="BA274" s="176"/>
      <c r="BB274" s="176"/>
      <c r="BC274" s="176"/>
      <c r="BD274" s="176"/>
      <c r="BE274" s="176"/>
      <c r="BF274" s="176"/>
      <c r="BG274" s="176"/>
      <c r="BH274" s="176"/>
      <c r="BI274" s="176"/>
      <c r="BJ274" s="176"/>
      <c r="BK274" s="211"/>
      <c r="BL274" s="211"/>
      <c r="BM274" s="184"/>
      <c r="BN274" s="184"/>
      <c r="BO274" s="184"/>
      <c r="BP274" s="184"/>
      <c r="BQ274" s="184"/>
      <c r="BR274" s="184"/>
      <c r="BS274" s="184"/>
      <c r="BT274" s="184"/>
      <c r="BU274" s="184"/>
    </row>
    <row r="275" spans="3:73" s="759" customFormat="1" ht="15">
      <c r="C275" s="760"/>
      <c r="G275" s="763"/>
      <c r="K275" s="762"/>
      <c r="O275" s="763"/>
      <c r="X275" s="184"/>
      <c r="Y275" s="184"/>
      <c r="Z275" s="184"/>
      <c r="AA275" s="184"/>
      <c r="AB275" s="184"/>
      <c r="AC275" s="184"/>
      <c r="AD275" s="184"/>
      <c r="AE275" s="184"/>
      <c r="AF275" s="184"/>
      <c r="AG275" s="184"/>
      <c r="AH275" s="184"/>
      <c r="AI275" s="185"/>
      <c r="AJ275" s="185"/>
      <c r="AK275" s="185"/>
      <c r="AL275" s="185"/>
      <c r="AM275" s="185"/>
      <c r="AN275" s="185"/>
      <c r="AO275" s="209"/>
      <c r="AP275" s="185"/>
      <c r="AQ275" s="185"/>
      <c r="AR275" s="185"/>
      <c r="AS275" s="210"/>
      <c r="AT275" s="176"/>
      <c r="AU275" s="176"/>
      <c r="AV275" s="176"/>
      <c r="AW275" s="176"/>
      <c r="AX275" s="176"/>
      <c r="AY275" s="176"/>
      <c r="AZ275" s="176"/>
      <c r="BA275" s="176"/>
      <c r="BB275" s="176"/>
      <c r="BC275" s="176"/>
      <c r="BD275" s="176"/>
      <c r="BE275" s="176"/>
      <c r="BF275" s="176"/>
      <c r="BG275" s="176"/>
      <c r="BH275" s="176"/>
      <c r="BI275" s="176"/>
      <c r="BJ275" s="176"/>
      <c r="BK275" s="211"/>
      <c r="BL275" s="211"/>
      <c r="BM275" s="184"/>
      <c r="BN275" s="184"/>
      <c r="BO275" s="184"/>
      <c r="BP275" s="184"/>
      <c r="BQ275" s="184"/>
      <c r="BR275" s="184"/>
      <c r="BS275" s="184"/>
      <c r="BT275" s="184"/>
      <c r="BU275" s="184"/>
    </row>
    <row r="276" spans="3:73" s="759" customFormat="1" ht="15">
      <c r="C276" s="760"/>
      <c r="G276" s="763"/>
      <c r="K276" s="762"/>
      <c r="O276" s="763"/>
      <c r="X276" s="184"/>
      <c r="Y276" s="184"/>
      <c r="Z276" s="184"/>
      <c r="AA276" s="184"/>
      <c r="AB276" s="184"/>
      <c r="AC276" s="184"/>
      <c r="AD276" s="184"/>
      <c r="AE276" s="184"/>
      <c r="AF276" s="184"/>
      <c r="AG276" s="184"/>
      <c r="AH276" s="184"/>
      <c r="AI276" s="185"/>
      <c r="AJ276" s="185"/>
      <c r="AK276" s="185"/>
      <c r="AL276" s="185"/>
      <c r="AM276" s="185"/>
      <c r="AN276" s="185"/>
      <c r="AO276" s="209"/>
      <c r="AP276" s="185"/>
      <c r="AQ276" s="185"/>
      <c r="AR276" s="185"/>
      <c r="AS276" s="210"/>
      <c r="AT276" s="176"/>
      <c r="AU276" s="176"/>
      <c r="AV276" s="176"/>
      <c r="AW276" s="176"/>
      <c r="AX276" s="176"/>
      <c r="AY276" s="176"/>
      <c r="AZ276" s="176"/>
      <c r="BA276" s="176"/>
      <c r="BB276" s="176"/>
      <c r="BC276" s="176"/>
      <c r="BD276" s="176"/>
      <c r="BE276" s="176"/>
      <c r="BF276" s="176"/>
      <c r="BG276" s="176"/>
      <c r="BH276" s="176"/>
      <c r="BI276" s="176"/>
      <c r="BJ276" s="176"/>
      <c r="BK276" s="211"/>
      <c r="BL276" s="211"/>
      <c r="BM276" s="184"/>
      <c r="BN276" s="184"/>
      <c r="BO276" s="184"/>
      <c r="BP276" s="184"/>
      <c r="BQ276" s="184"/>
      <c r="BR276" s="184"/>
      <c r="BS276" s="184"/>
      <c r="BT276" s="184"/>
      <c r="BU276" s="184"/>
    </row>
    <row r="277" spans="3:73" s="759" customFormat="1" ht="15">
      <c r="C277" s="760"/>
      <c r="G277" s="763"/>
      <c r="K277" s="762"/>
      <c r="O277" s="763"/>
      <c r="X277" s="184"/>
      <c r="Y277" s="184"/>
      <c r="Z277" s="184"/>
      <c r="AA277" s="184"/>
      <c r="AB277" s="184"/>
      <c r="AC277" s="184"/>
      <c r="AD277" s="184"/>
      <c r="AE277" s="184"/>
      <c r="AF277" s="184"/>
      <c r="AG277" s="184"/>
      <c r="AH277" s="184"/>
      <c r="AI277" s="185"/>
      <c r="AJ277" s="185"/>
      <c r="AK277" s="185"/>
      <c r="AL277" s="185"/>
      <c r="AM277" s="185"/>
      <c r="AN277" s="185"/>
      <c r="AO277" s="209"/>
      <c r="AP277" s="185"/>
      <c r="AQ277" s="185"/>
      <c r="AR277" s="185"/>
      <c r="AS277" s="210"/>
      <c r="AT277" s="176"/>
      <c r="AU277" s="176"/>
      <c r="AV277" s="176"/>
      <c r="AW277" s="176"/>
      <c r="AX277" s="176"/>
      <c r="AY277" s="176"/>
      <c r="AZ277" s="176"/>
      <c r="BA277" s="176"/>
      <c r="BB277" s="176"/>
      <c r="BC277" s="176"/>
      <c r="BD277" s="176"/>
      <c r="BE277" s="176"/>
      <c r="BF277" s="176"/>
      <c r="BG277" s="176"/>
      <c r="BH277" s="176"/>
      <c r="BI277" s="176"/>
      <c r="BJ277" s="176"/>
      <c r="BK277" s="211"/>
      <c r="BL277" s="211"/>
      <c r="BM277" s="184"/>
      <c r="BN277" s="184"/>
      <c r="BO277" s="184"/>
      <c r="BP277" s="184"/>
      <c r="BQ277" s="184"/>
      <c r="BR277" s="184"/>
      <c r="BS277" s="184"/>
      <c r="BT277" s="184"/>
      <c r="BU277" s="184"/>
    </row>
    <row r="278" spans="3:73" s="759" customFormat="1" ht="15">
      <c r="C278" s="760"/>
      <c r="G278" s="763"/>
      <c r="K278" s="762"/>
      <c r="O278" s="763"/>
      <c r="X278" s="184"/>
      <c r="Y278" s="184"/>
      <c r="Z278" s="184"/>
      <c r="AA278" s="184"/>
      <c r="AB278" s="184"/>
      <c r="AC278" s="184"/>
      <c r="AD278" s="184"/>
      <c r="AE278" s="184"/>
      <c r="AF278" s="184"/>
      <c r="AG278" s="184"/>
      <c r="AH278" s="184"/>
      <c r="AI278" s="185"/>
      <c r="AJ278" s="185"/>
      <c r="AK278" s="185"/>
      <c r="AL278" s="185"/>
      <c r="AM278" s="185"/>
      <c r="AN278" s="185"/>
      <c r="AO278" s="209"/>
      <c r="AP278" s="185"/>
      <c r="AQ278" s="185"/>
      <c r="AR278" s="185"/>
      <c r="AS278" s="210"/>
      <c r="AT278" s="176"/>
      <c r="AU278" s="176"/>
      <c r="AV278" s="176"/>
      <c r="AW278" s="176"/>
      <c r="AX278" s="176"/>
      <c r="AY278" s="176"/>
      <c r="AZ278" s="176"/>
      <c r="BA278" s="176"/>
      <c r="BB278" s="176"/>
      <c r="BC278" s="176"/>
      <c r="BD278" s="176"/>
      <c r="BE278" s="176"/>
      <c r="BF278" s="176"/>
      <c r="BG278" s="176"/>
      <c r="BH278" s="176"/>
      <c r="BI278" s="176"/>
      <c r="BJ278" s="176"/>
      <c r="BK278" s="211"/>
      <c r="BL278" s="211"/>
      <c r="BM278" s="184"/>
      <c r="BN278" s="184"/>
      <c r="BO278" s="184"/>
      <c r="BP278" s="184"/>
      <c r="BQ278" s="184"/>
      <c r="BR278" s="184"/>
      <c r="BS278" s="184"/>
      <c r="BT278" s="184"/>
      <c r="BU278" s="184"/>
    </row>
    <row r="279" spans="3:73" s="759" customFormat="1" ht="15">
      <c r="C279" s="760"/>
      <c r="G279" s="763"/>
      <c r="K279" s="762"/>
      <c r="O279" s="763"/>
      <c r="X279" s="184"/>
      <c r="Y279" s="184"/>
      <c r="Z279" s="184"/>
      <c r="AA279" s="184"/>
      <c r="AB279" s="184"/>
      <c r="AC279" s="184"/>
      <c r="AD279" s="184"/>
      <c r="AE279" s="184"/>
      <c r="AF279" s="184"/>
      <c r="AG279" s="184"/>
      <c r="AH279" s="184"/>
      <c r="AI279" s="185"/>
      <c r="AJ279" s="185"/>
      <c r="AK279" s="185"/>
      <c r="AL279" s="185"/>
      <c r="AM279" s="185"/>
      <c r="AN279" s="185"/>
      <c r="AO279" s="209"/>
      <c r="AP279" s="185"/>
      <c r="AQ279" s="185"/>
      <c r="AR279" s="185"/>
      <c r="AS279" s="210"/>
      <c r="AT279" s="176"/>
      <c r="AU279" s="176"/>
      <c r="AV279" s="176"/>
      <c r="AW279" s="176"/>
      <c r="AX279" s="176"/>
      <c r="AY279" s="176"/>
      <c r="AZ279" s="176"/>
      <c r="BA279" s="176"/>
      <c r="BB279" s="176"/>
      <c r="BC279" s="176"/>
      <c r="BD279" s="176"/>
      <c r="BE279" s="176"/>
      <c r="BF279" s="176"/>
      <c r="BG279" s="176"/>
      <c r="BH279" s="176"/>
      <c r="BI279" s="176"/>
      <c r="BJ279" s="176"/>
      <c r="BK279" s="211"/>
      <c r="BL279" s="211"/>
      <c r="BM279" s="184"/>
      <c r="BN279" s="184"/>
      <c r="BO279" s="184"/>
      <c r="BP279" s="184"/>
      <c r="BQ279" s="184"/>
      <c r="BR279" s="184"/>
      <c r="BS279" s="184"/>
      <c r="BT279" s="184"/>
      <c r="BU279" s="184"/>
    </row>
    <row r="280" spans="3:73" s="759" customFormat="1" ht="15">
      <c r="C280" s="760"/>
      <c r="G280" s="763"/>
      <c r="K280" s="762"/>
      <c r="O280" s="763"/>
      <c r="X280" s="184"/>
      <c r="Y280" s="184"/>
      <c r="Z280" s="184"/>
      <c r="AA280" s="184"/>
      <c r="AB280" s="184"/>
      <c r="AC280" s="184"/>
      <c r="AD280" s="184"/>
      <c r="AE280" s="184"/>
      <c r="AF280" s="184"/>
      <c r="AG280" s="184"/>
      <c r="AH280" s="184"/>
      <c r="AI280" s="185"/>
      <c r="AJ280" s="185"/>
      <c r="AK280" s="185"/>
      <c r="AL280" s="185"/>
      <c r="AM280" s="185"/>
      <c r="AN280" s="185"/>
      <c r="AO280" s="209"/>
      <c r="AP280" s="185"/>
      <c r="AQ280" s="185"/>
      <c r="AR280" s="185"/>
      <c r="AS280" s="210"/>
      <c r="AT280" s="176"/>
      <c r="AU280" s="176"/>
      <c r="AV280" s="176"/>
      <c r="AW280" s="176"/>
      <c r="AX280" s="176"/>
      <c r="AY280" s="176"/>
      <c r="AZ280" s="176"/>
      <c r="BA280" s="176"/>
      <c r="BB280" s="176"/>
      <c r="BC280" s="176"/>
      <c r="BD280" s="176"/>
      <c r="BE280" s="176"/>
      <c r="BF280" s="176"/>
      <c r="BG280" s="176"/>
      <c r="BH280" s="176"/>
      <c r="BI280" s="176"/>
      <c r="BJ280" s="176"/>
      <c r="BK280" s="211"/>
      <c r="BL280" s="211"/>
      <c r="BM280" s="184"/>
      <c r="BN280" s="184"/>
      <c r="BO280" s="184"/>
      <c r="BP280" s="184"/>
      <c r="BQ280" s="184"/>
      <c r="BR280" s="184"/>
      <c r="BS280" s="184"/>
      <c r="BT280" s="184"/>
      <c r="BU280" s="184"/>
    </row>
    <row r="281" spans="3:73" s="759" customFormat="1" ht="15">
      <c r="C281" s="760"/>
      <c r="G281" s="763"/>
      <c r="K281" s="762"/>
      <c r="O281" s="763"/>
      <c r="X281" s="184"/>
      <c r="Y281" s="184"/>
      <c r="Z281" s="184"/>
      <c r="AA281" s="184"/>
      <c r="AB281" s="184"/>
      <c r="AC281" s="184"/>
      <c r="AD281" s="184"/>
      <c r="AE281" s="184"/>
      <c r="AF281" s="184"/>
      <c r="AG281" s="184"/>
      <c r="AH281" s="184"/>
      <c r="AI281" s="185"/>
      <c r="AJ281" s="185"/>
      <c r="AK281" s="185"/>
      <c r="AL281" s="185"/>
      <c r="AM281" s="185"/>
      <c r="AN281" s="185"/>
      <c r="AO281" s="209"/>
      <c r="AP281" s="185"/>
      <c r="AQ281" s="185"/>
      <c r="AR281" s="185"/>
      <c r="AS281" s="210"/>
      <c r="AT281" s="176"/>
      <c r="AU281" s="176"/>
      <c r="AV281" s="176"/>
      <c r="AW281" s="176"/>
      <c r="AX281" s="176"/>
      <c r="AY281" s="176"/>
      <c r="AZ281" s="176"/>
      <c r="BA281" s="176"/>
      <c r="BB281" s="176"/>
      <c r="BC281" s="176"/>
      <c r="BD281" s="176"/>
      <c r="BE281" s="176"/>
      <c r="BF281" s="176"/>
      <c r="BG281" s="176"/>
      <c r="BH281" s="176"/>
      <c r="BI281" s="176"/>
      <c r="BJ281" s="176"/>
      <c r="BK281" s="211"/>
      <c r="BL281" s="211"/>
      <c r="BM281" s="184"/>
      <c r="BN281" s="184"/>
      <c r="BO281" s="184"/>
      <c r="BP281" s="184"/>
      <c r="BQ281" s="184"/>
      <c r="BR281" s="184"/>
      <c r="BS281" s="184"/>
      <c r="BT281" s="184"/>
      <c r="BU281" s="184"/>
    </row>
    <row r="282" spans="3:73" s="759" customFormat="1" ht="15">
      <c r="C282" s="760"/>
      <c r="G282" s="763"/>
      <c r="K282" s="762"/>
      <c r="O282" s="763"/>
      <c r="X282" s="184"/>
      <c r="Y282" s="184"/>
      <c r="Z282" s="184"/>
      <c r="AA282" s="184"/>
      <c r="AB282" s="184"/>
      <c r="AC282" s="184"/>
      <c r="AD282" s="184"/>
      <c r="AE282" s="184"/>
      <c r="AF282" s="184"/>
      <c r="AG282" s="184"/>
      <c r="AH282" s="184"/>
      <c r="AI282" s="185"/>
      <c r="AJ282" s="185"/>
      <c r="AK282" s="185"/>
      <c r="AL282" s="185"/>
      <c r="AM282" s="185"/>
      <c r="AN282" s="185"/>
      <c r="AO282" s="209"/>
      <c r="AP282" s="185"/>
      <c r="AQ282" s="185"/>
      <c r="AR282" s="185"/>
      <c r="AS282" s="210"/>
      <c r="AT282" s="176"/>
      <c r="AU282" s="176"/>
      <c r="AV282" s="176"/>
      <c r="AW282" s="176"/>
      <c r="AX282" s="176"/>
      <c r="AY282" s="176"/>
      <c r="AZ282" s="176"/>
      <c r="BA282" s="176"/>
      <c r="BB282" s="176"/>
      <c r="BC282" s="176"/>
      <c r="BD282" s="176"/>
      <c r="BE282" s="176"/>
      <c r="BF282" s="176"/>
      <c r="BG282" s="176"/>
      <c r="BH282" s="176"/>
      <c r="BI282" s="176"/>
      <c r="BJ282" s="176"/>
      <c r="BK282" s="211"/>
      <c r="BL282" s="211"/>
      <c r="BM282" s="184"/>
      <c r="BN282" s="184"/>
      <c r="BO282" s="184"/>
      <c r="BP282" s="184"/>
      <c r="BQ282" s="184"/>
      <c r="BR282" s="184"/>
      <c r="BS282" s="184"/>
      <c r="BT282" s="184"/>
      <c r="BU282" s="184"/>
    </row>
    <row r="283" spans="3:73" s="759" customFormat="1" ht="15">
      <c r="C283" s="760"/>
      <c r="G283" s="763"/>
      <c r="K283" s="762"/>
      <c r="O283" s="763"/>
      <c r="X283" s="184"/>
      <c r="Y283" s="184"/>
      <c r="Z283" s="184"/>
      <c r="AA283" s="184"/>
      <c r="AB283" s="184"/>
      <c r="AC283" s="184"/>
      <c r="AD283" s="184"/>
      <c r="AE283" s="184"/>
      <c r="AF283" s="184"/>
      <c r="AG283" s="184"/>
      <c r="AH283" s="184"/>
      <c r="AI283" s="185"/>
      <c r="AJ283" s="185"/>
      <c r="AK283" s="185"/>
      <c r="AL283" s="185"/>
      <c r="AM283" s="185"/>
      <c r="AN283" s="185"/>
      <c r="AO283" s="209"/>
      <c r="AP283" s="185"/>
      <c r="AQ283" s="185"/>
      <c r="AR283" s="185"/>
      <c r="AS283" s="210"/>
      <c r="AT283" s="176"/>
      <c r="AU283" s="176"/>
      <c r="AV283" s="176"/>
      <c r="AW283" s="176"/>
      <c r="AX283" s="176"/>
      <c r="AY283" s="176"/>
      <c r="AZ283" s="176"/>
      <c r="BA283" s="176"/>
      <c r="BB283" s="176"/>
      <c r="BC283" s="176"/>
      <c r="BD283" s="176"/>
      <c r="BE283" s="176"/>
      <c r="BF283" s="176"/>
      <c r="BG283" s="176"/>
      <c r="BH283" s="176"/>
      <c r="BI283" s="176"/>
      <c r="BJ283" s="176"/>
      <c r="BK283" s="211"/>
      <c r="BL283" s="211"/>
      <c r="BM283" s="184"/>
      <c r="BN283" s="184"/>
      <c r="BO283" s="184"/>
      <c r="BP283" s="184"/>
      <c r="BQ283" s="184"/>
      <c r="BR283" s="184"/>
      <c r="BS283" s="184"/>
      <c r="BT283" s="184"/>
      <c r="BU283" s="184"/>
    </row>
    <row r="284" spans="3:73" s="759" customFormat="1" ht="15">
      <c r="C284" s="760"/>
      <c r="G284" s="763"/>
      <c r="K284" s="762"/>
      <c r="O284" s="763"/>
      <c r="X284" s="184"/>
      <c r="Y284" s="184"/>
      <c r="Z284" s="184"/>
      <c r="AA284" s="184"/>
      <c r="AB284" s="184"/>
      <c r="AC284" s="184"/>
      <c r="AD284" s="184"/>
      <c r="AE284" s="184"/>
      <c r="AF284" s="184"/>
      <c r="AG284" s="184"/>
      <c r="AH284" s="184"/>
      <c r="AI284" s="185"/>
      <c r="AJ284" s="185"/>
      <c r="AK284" s="185"/>
      <c r="AL284" s="185"/>
      <c r="AM284" s="185"/>
      <c r="AN284" s="185"/>
      <c r="AO284" s="209"/>
      <c r="AP284" s="185"/>
      <c r="AQ284" s="185"/>
      <c r="AR284" s="185"/>
      <c r="AS284" s="210"/>
      <c r="AT284" s="176"/>
      <c r="AU284" s="176"/>
      <c r="AV284" s="176"/>
      <c r="AW284" s="176"/>
      <c r="AX284" s="176"/>
      <c r="AY284" s="176"/>
      <c r="AZ284" s="176"/>
      <c r="BA284" s="176"/>
      <c r="BB284" s="176"/>
      <c r="BC284" s="176"/>
      <c r="BD284" s="176"/>
      <c r="BE284" s="176"/>
      <c r="BF284" s="176"/>
      <c r="BG284" s="176"/>
      <c r="BH284" s="176"/>
      <c r="BI284" s="176"/>
      <c r="BJ284" s="176"/>
      <c r="BK284" s="211"/>
      <c r="BL284" s="211"/>
      <c r="BM284" s="184"/>
      <c r="BN284" s="184"/>
      <c r="BO284" s="184"/>
      <c r="BP284" s="184"/>
      <c r="BQ284" s="184"/>
      <c r="BR284" s="184"/>
      <c r="BS284" s="184"/>
      <c r="BT284" s="184"/>
      <c r="BU284" s="184"/>
    </row>
    <row r="285" spans="3:73" s="759" customFormat="1" ht="15">
      <c r="C285" s="760"/>
      <c r="G285" s="763"/>
      <c r="K285" s="762"/>
      <c r="O285" s="763"/>
      <c r="X285" s="184"/>
      <c r="Y285" s="184"/>
      <c r="Z285" s="184"/>
      <c r="AA285" s="184"/>
      <c r="AB285" s="184"/>
      <c r="AC285" s="184"/>
      <c r="AD285" s="184"/>
      <c r="AE285" s="184"/>
      <c r="AF285" s="184"/>
      <c r="AG285" s="184"/>
      <c r="AH285" s="184"/>
      <c r="AI285" s="185"/>
      <c r="AJ285" s="185"/>
      <c r="AK285" s="185"/>
      <c r="AL285" s="185"/>
      <c r="AM285" s="185"/>
      <c r="AN285" s="185"/>
      <c r="AO285" s="209"/>
      <c r="AP285" s="185"/>
      <c r="AQ285" s="185"/>
      <c r="AR285" s="185"/>
      <c r="AS285" s="210"/>
      <c r="AT285" s="176"/>
      <c r="AU285" s="176"/>
      <c r="AV285" s="176"/>
      <c r="AW285" s="176"/>
      <c r="AX285" s="176"/>
      <c r="AY285" s="176"/>
      <c r="AZ285" s="176"/>
      <c r="BA285" s="176"/>
      <c r="BB285" s="176"/>
      <c r="BC285" s="176"/>
      <c r="BD285" s="176"/>
      <c r="BE285" s="176"/>
      <c r="BF285" s="176"/>
      <c r="BG285" s="176"/>
      <c r="BH285" s="176"/>
      <c r="BI285" s="176"/>
      <c r="BJ285" s="176"/>
      <c r="BK285" s="211"/>
      <c r="BL285" s="211"/>
      <c r="BM285" s="184"/>
      <c r="BN285" s="184"/>
      <c r="BO285" s="184"/>
      <c r="BP285" s="184"/>
      <c r="BQ285" s="184"/>
      <c r="BR285" s="184"/>
      <c r="BS285" s="184"/>
      <c r="BT285" s="184"/>
      <c r="BU285" s="184"/>
    </row>
    <row r="286" spans="3:73" s="759" customFormat="1" ht="15">
      <c r="C286" s="760"/>
      <c r="G286" s="763"/>
      <c r="K286" s="762"/>
      <c r="O286" s="763"/>
      <c r="X286" s="184"/>
      <c r="Y286" s="184"/>
      <c r="Z286" s="184"/>
      <c r="AA286" s="184"/>
      <c r="AB286" s="184"/>
      <c r="AC286" s="184"/>
      <c r="AD286" s="184"/>
      <c r="AE286" s="184"/>
      <c r="AF286" s="184"/>
      <c r="AG286" s="184"/>
      <c r="AH286" s="184"/>
      <c r="AI286" s="185"/>
      <c r="AJ286" s="185"/>
      <c r="AK286" s="185"/>
      <c r="AL286" s="185"/>
      <c r="AM286" s="185"/>
      <c r="AN286" s="185"/>
      <c r="AO286" s="209"/>
      <c r="AP286" s="185"/>
      <c r="AQ286" s="185"/>
      <c r="AR286" s="185"/>
      <c r="AS286" s="210"/>
      <c r="AT286" s="176"/>
      <c r="AU286" s="176"/>
      <c r="AV286" s="176"/>
      <c r="AW286" s="176"/>
      <c r="AX286" s="176"/>
      <c r="AY286" s="176"/>
      <c r="AZ286" s="176"/>
      <c r="BA286" s="176"/>
      <c r="BB286" s="176"/>
      <c r="BC286" s="176"/>
      <c r="BD286" s="176"/>
      <c r="BE286" s="176"/>
      <c r="BF286" s="176"/>
      <c r="BG286" s="176"/>
      <c r="BH286" s="176"/>
      <c r="BI286" s="176"/>
      <c r="BJ286" s="176"/>
      <c r="BK286" s="211"/>
      <c r="BL286" s="211"/>
      <c r="BM286" s="184"/>
      <c r="BN286" s="184"/>
      <c r="BO286" s="184"/>
      <c r="BP286" s="184"/>
      <c r="BQ286" s="184"/>
      <c r="BR286" s="184"/>
      <c r="BS286" s="184"/>
      <c r="BT286" s="184"/>
      <c r="BU286" s="184"/>
    </row>
    <row r="287" spans="3:73" s="759" customFormat="1" ht="15">
      <c r="C287" s="760"/>
      <c r="G287" s="763"/>
      <c r="K287" s="762"/>
      <c r="O287" s="763"/>
      <c r="X287" s="184"/>
      <c r="Y287" s="184"/>
      <c r="Z287" s="184"/>
      <c r="AA287" s="184"/>
      <c r="AB287" s="184"/>
      <c r="AC287" s="184"/>
      <c r="AD287" s="184"/>
      <c r="AE287" s="184"/>
      <c r="AF287" s="184"/>
      <c r="AG287" s="184"/>
      <c r="AH287" s="184"/>
      <c r="AI287" s="185"/>
      <c r="AJ287" s="185"/>
      <c r="AK287" s="185"/>
      <c r="AL287" s="185"/>
      <c r="AM287" s="185"/>
      <c r="AN287" s="185"/>
      <c r="AO287" s="209"/>
      <c r="AP287" s="185"/>
      <c r="AQ287" s="185"/>
      <c r="AR287" s="185"/>
      <c r="AS287" s="210"/>
      <c r="AT287" s="176"/>
      <c r="AU287" s="176"/>
      <c r="AV287" s="176"/>
      <c r="AW287" s="176"/>
      <c r="AX287" s="176"/>
      <c r="AY287" s="176"/>
      <c r="AZ287" s="176"/>
      <c r="BA287" s="176"/>
      <c r="BB287" s="176"/>
      <c r="BC287" s="176"/>
      <c r="BD287" s="176"/>
      <c r="BE287" s="176"/>
      <c r="BF287" s="176"/>
      <c r="BG287" s="176"/>
      <c r="BH287" s="176"/>
      <c r="BI287" s="176"/>
      <c r="BJ287" s="176"/>
      <c r="BK287" s="211"/>
      <c r="BL287" s="211"/>
      <c r="BM287" s="184"/>
      <c r="BN287" s="184"/>
      <c r="BO287" s="184"/>
      <c r="BP287" s="184"/>
      <c r="BQ287" s="184"/>
      <c r="BR287" s="184"/>
      <c r="BS287" s="184"/>
      <c r="BT287" s="184"/>
      <c r="BU287" s="184"/>
    </row>
    <row r="288" spans="3:73" s="759" customFormat="1" ht="15">
      <c r="C288" s="760"/>
      <c r="G288" s="763"/>
      <c r="K288" s="762"/>
      <c r="O288" s="763"/>
      <c r="X288" s="184"/>
      <c r="Y288" s="184"/>
      <c r="Z288" s="184"/>
      <c r="AA288" s="184"/>
      <c r="AB288" s="184"/>
      <c r="AC288" s="184"/>
      <c r="AD288" s="184"/>
      <c r="AE288" s="184"/>
      <c r="AF288" s="184"/>
      <c r="AG288" s="184"/>
      <c r="AH288" s="184"/>
      <c r="AI288" s="185"/>
      <c r="AJ288" s="185"/>
      <c r="AK288" s="185"/>
      <c r="AL288" s="185"/>
      <c r="AM288" s="185"/>
      <c r="AN288" s="185"/>
      <c r="AO288" s="209"/>
      <c r="AP288" s="185"/>
      <c r="AQ288" s="185"/>
      <c r="AR288" s="185"/>
      <c r="AS288" s="210"/>
      <c r="AT288" s="176"/>
      <c r="AU288" s="176"/>
      <c r="AV288" s="176"/>
      <c r="AW288" s="176"/>
      <c r="AX288" s="176"/>
      <c r="AY288" s="176"/>
      <c r="AZ288" s="176"/>
      <c r="BA288" s="176"/>
      <c r="BB288" s="176"/>
      <c r="BC288" s="176"/>
      <c r="BD288" s="176"/>
      <c r="BE288" s="176"/>
      <c r="BF288" s="176"/>
      <c r="BG288" s="176"/>
      <c r="BH288" s="176"/>
      <c r="BI288" s="176"/>
      <c r="BJ288" s="176"/>
      <c r="BK288" s="211"/>
      <c r="BL288" s="211"/>
      <c r="BM288" s="184"/>
      <c r="BN288" s="184"/>
      <c r="BO288" s="184"/>
      <c r="BP288" s="184"/>
      <c r="BQ288" s="184"/>
      <c r="BR288" s="184"/>
      <c r="BS288" s="184"/>
      <c r="BT288" s="184"/>
      <c r="BU288" s="184"/>
    </row>
    <row r="289" spans="3:73" s="759" customFormat="1" ht="15">
      <c r="C289" s="760"/>
      <c r="G289" s="763"/>
      <c r="K289" s="762"/>
      <c r="O289" s="763"/>
      <c r="X289" s="184"/>
      <c r="Y289" s="184"/>
      <c r="Z289" s="184"/>
      <c r="AA289" s="184"/>
      <c r="AB289" s="184"/>
      <c r="AC289" s="184"/>
      <c r="AD289" s="184"/>
      <c r="AE289" s="184"/>
      <c r="AF289" s="184"/>
      <c r="AG289" s="184"/>
      <c r="AH289" s="184"/>
      <c r="AI289" s="185"/>
      <c r="AJ289" s="185"/>
      <c r="AK289" s="185"/>
      <c r="AL289" s="185"/>
      <c r="AM289" s="185"/>
      <c r="AN289" s="185"/>
      <c r="AO289" s="209"/>
      <c r="AP289" s="185"/>
      <c r="AQ289" s="185"/>
      <c r="AR289" s="185"/>
      <c r="AS289" s="210"/>
      <c r="AT289" s="176"/>
      <c r="AU289" s="176"/>
      <c r="AV289" s="176"/>
      <c r="AW289" s="176"/>
      <c r="AX289" s="176"/>
      <c r="AY289" s="176"/>
      <c r="AZ289" s="176"/>
      <c r="BA289" s="176"/>
      <c r="BB289" s="176"/>
      <c r="BC289" s="176"/>
      <c r="BD289" s="176"/>
      <c r="BE289" s="176"/>
      <c r="BF289" s="176"/>
      <c r="BG289" s="176"/>
      <c r="BH289" s="176"/>
      <c r="BI289" s="176"/>
      <c r="BJ289" s="176"/>
      <c r="BK289" s="211"/>
      <c r="BL289" s="211"/>
      <c r="BM289" s="184"/>
      <c r="BN289" s="184"/>
      <c r="BO289" s="184"/>
      <c r="BP289" s="184"/>
      <c r="BQ289" s="184"/>
      <c r="BR289" s="184"/>
      <c r="BS289" s="184"/>
      <c r="BT289" s="184"/>
      <c r="BU289" s="184"/>
    </row>
    <row r="290" spans="3:73" s="759" customFormat="1" ht="15">
      <c r="C290" s="760"/>
      <c r="G290" s="763"/>
      <c r="K290" s="762"/>
      <c r="O290" s="763"/>
      <c r="X290" s="184"/>
      <c r="Y290" s="184"/>
      <c r="Z290" s="184"/>
      <c r="AA290" s="184"/>
      <c r="AB290" s="184"/>
      <c r="AC290" s="184"/>
      <c r="AD290" s="184"/>
      <c r="AE290" s="184"/>
      <c r="AF290" s="184"/>
      <c r="AG290" s="184"/>
      <c r="AH290" s="184"/>
      <c r="AI290" s="185"/>
      <c r="AJ290" s="185"/>
      <c r="AK290" s="185"/>
      <c r="AL290" s="185"/>
      <c r="AM290" s="185"/>
      <c r="AN290" s="185"/>
      <c r="AO290" s="209"/>
      <c r="AP290" s="185"/>
      <c r="AQ290" s="185"/>
      <c r="AR290" s="185"/>
      <c r="AS290" s="210"/>
      <c r="AT290" s="176"/>
      <c r="AU290" s="176"/>
      <c r="AV290" s="176"/>
      <c r="AW290" s="176"/>
      <c r="AX290" s="176"/>
      <c r="AY290" s="176"/>
      <c r="AZ290" s="176"/>
      <c r="BA290" s="176"/>
      <c r="BB290" s="176"/>
      <c r="BC290" s="176"/>
      <c r="BD290" s="176"/>
      <c r="BE290" s="176"/>
      <c r="BF290" s="176"/>
      <c r="BG290" s="176"/>
      <c r="BH290" s="176"/>
      <c r="BI290" s="176"/>
      <c r="BJ290" s="176"/>
      <c r="BK290" s="211"/>
      <c r="BL290" s="211"/>
      <c r="BM290" s="184"/>
      <c r="BN290" s="184"/>
      <c r="BO290" s="184"/>
      <c r="BP290" s="184"/>
      <c r="BQ290" s="184"/>
      <c r="BR290" s="184"/>
      <c r="BS290" s="184"/>
      <c r="BT290" s="184"/>
      <c r="BU290" s="184"/>
    </row>
    <row r="291" spans="3:73" s="759" customFormat="1" ht="15">
      <c r="C291" s="760"/>
      <c r="G291" s="763"/>
      <c r="K291" s="762"/>
      <c r="O291" s="763"/>
      <c r="X291" s="184"/>
      <c r="Y291" s="184"/>
      <c r="Z291" s="184"/>
      <c r="AA291" s="184"/>
      <c r="AB291" s="184"/>
      <c r="AC291" s="184"/>
      <c r="AD291" s="184"/>
      <c r="AE291" s="184"/>
      <c r="AF291" s="184"/>
      <c r="AG291" s="184"/>
      <c r="AH291" s="184"/>
      <c r="AI291" s="185"/>
      <c r="AJ291" s="185"/>
      <c r="AK291" s="185"/>
      <c r="AL291" s="185"/>
      <c r="AM291" s="185"/>
      <c r="AN291" s="185"/>
      <c r="AO291" s="209"/>
      <c r="AP291" s="185"/>
      <c r="AQ291" s="185"/>
      <c r="AR291" s="185"/>
      <c r="AS291" s="210"/>
      <c r="AT291" s="176"/>
      <c r="AU291" s="176"/>
      <c r="AV291" s="176"/>
      <c r="AW291" s="176"/>
      <c r="AX291" s="176"/>
      <c r="AY291" s="176"/>
      <c r="AZ291" s="176"/>
      <c r="BA291" s="176"/>
      <c r="BB291" s="176"/>
      <c r="BC291" s="176"/>
      <c r="BD291" s="176"/>
      <c r="BE291" s="176"/>
      <c r="BF291" s="176"/>
      <c r="BG291" s="176"/>
      <c r="BH291" s="176"/>
      <c r="BI291" s="176"/>
      <c r="BJ291" s="176"/>
      <c r="BK291" s="211"/>
      <c r="BL291" s="211"/>
      <c r="BM291" s="184"/>
      <c r="BN291" s="184"/>
      <c r="BO291" s="184"/>
      <c r="BP291" s="184"/>
      <c r="BQ291" s="184"/>
      <c r="BR291" s="184"/>
      <c r="BS291" s="184"/>
      <c r="BT291" s="184"/>
      <c r="BU291" s="184"/>
    </row>
    <row r="292" spans="3:73" s="759" customFormat="1" ht="15">
      <c r="C292" s="760"/>
      <c r="G292" s="763"/>
      <c r="K292" s="762"/>
      <c r="O292" s="763"/>
      <c r="X292" s="184"/>
      <c r="Y292" s="184"/>
      <c r="Z292" s="184"/>
      <c r="AA292" s="184"/>
      <c r="AB292" s="184"/>
      <c r="AC292" s="184"/>
      <c r="AD292" s="184"/>
      <c r="AE292" s="184"/>
      <c r="AF292" s="184"/>
      <c r="AG292" s="184"/>
      <c r="AH292" s="184"/>
      <c r="AI292" s="185"/>
      <c r="AJ292" s="185"/>
      <c r="AK292" s="185"/>
      <c r="AL292" s="185"/>
      <c r="AM292" s="185"/>
      <c r="AN292" s="185"/>
      <c r="AO292" s="209"/>
      <c r="AP292" s="185"/>
      <c r="AQ292" s="185"/>
      <c r="AR292" s="185"/>
      <c r="AS292" s="210"/>
      <c r="AT292" s="176"/>
      <c r="AU292" s="176"/>
      <c r="AV292" s="176"/>
      <c r="AW292" s="176"/>
      <c r="AX292" s="176"/>
      <c r="AY292" s="176"/>
      <c r="AZ292" s="176"/>
      <c r="BA292" s="176"/>
      <c r="BB292" s="176"/>
      <c r="BC292" s="176"/>
      <c r="BD292" s="176"/>
      <c r="BE292" s="176"/>
      <c r="BF292" s="176"/>
      <c r="BG292" s="176"/>
      <c r="BH292" s="176"/>
      <c r="BI292" s="176"/>
      <c r="BJ292" s="176"/>
      <c r="BK292" s="211"/>
      <c r="BL292" s="211"/>
      <c r="BM292" s="184"/>
      <c r="BN292" s="184"/>
      <c r="BO292" s="184"/>
      <c r="BP292" s="184"/>
      <c r="BQ292" s="184"/>
      <c r="BR292" s="184"/>
      <c r="BS292" s="184"/>
      <c r="BT292" s="184"/>
      <c r="BU292" s="184"/>
    </row>
    <row r="293" spans="3:73" s="759" customFormat="1" ht="15">
      <c r="C293" s="760"/>
      <c r="G293" s="763"/>
      <c r="K293" s="762"/>
      <c r="O293" s="763"/>
      <c r="X293" s="184"/>
      <c r="Y293" s="184"/>
      <c r="Z293" s="184"/>
      <c r="AA293" s="184"/>
      <c r="AB293" s="184"/>
      <c r="AC293" s="184"/>
      <c r="AD293" s="184"/>
      <c r="AE293" s="184"/>
      <c r="AF293" s="184"/>
      <c r="AG293" s="184"/>
      <c r="AH293" s="184"/>
      <c r="AI293" s="185"/>
      <c r="AJ293" s="185"/>
      <c r="AK293" s="185"/>
      <c r="AL293" s="185"/>
      <c r="AM293" s="185"/>
      <c r="AN293" s="185"/>
      <c r="AO293" s="209"/>
      <c r="AP293" s="185"/>
      <c r="AQ293" s="185"/>
      <c r="AR293" s="185"/>
      <c r="AS293" s="210"/>
      <c r="AT293" s="176"/>
      <c r="AU293" s="176"/>
      <c r="AV293" s="176"/>
      <c r="AW293" s="176"/>
      <c r="AX293" s="176"/>
      <c r="AY293" s="176"/>
      <c r="AZ293" s="176"/>
      <c r="BA293" s="176"/>
      <c r="BB293" s="176"/>
      <c r="BC293" s="176"/>
      <c r="BD293" s="176"/>
      <c r="BE293" s="176"/>
      <c r="BF293" s="176"/>
      <c r="BG293" s="176"/>
      <c r="BH293" s="176"/>
      <c r="BI293" s="176"/>
      <c r="BJ293" s="176"/>
      <c r="BK293" s="211"/>
      <c r="BL293" s="211"/>
      <c r="BM293" s="184"/>
      <c r="BN293" s="184"/>
      <c r="BO293" s="184"/>
      <c r="BP293" s="184"/>
      <c r="BQ293" s="184"/>
      <c r="BR293" s="184"/>
      <c r="BS293" s="184"/>
      <c r="BT293" s="184"/>
      <c r="BU293" s="184"/>
    </row>
    <row r="294" spans="3:73" s="759" customFormat="1" ht="15">
      <c r="C294" s="760"/>
      <c r="G294" s="763"/>
      <c r="K294" s="762"/>
      <c r="O294" s="763"/>
      <c r="X294" s="184"/>
      <c r="Y294" s="184"/>
      <c r="Z294" s="184"/>
      <c r="AA294" s="184"/>
      <c r="AB294" s="184"/>
      <c r="AC294" s="184"/>
      <c r="AD294" s="184"/>
      <c r="AE294" s="184"/>
      <c r="AF294" s="184"/>
      <c r="AG294" s="184"/>
      <c r="AH294" s="184"/>
      <c r="AI294" s="185"/>
      <c r="AJ294" s="185"/>
      <c r="AK294" s="185"/>
      <c r="AL294" s="185"/>
      <c r="AM294" s="185"/>
      <c r="AN294" s="185"/>
      <c r="AO294" s="209"/>
      <c r="AP294" s="185"/>
      <c r="AQ294" s="185"/>
      <c r="AR294" s="185"/>
      <c r="AS294" s="210"/>
      <c r="AT294" s="176"/>
      <c r="AU294" s="176"/>
      <c r="AV294" s="176"/>
      <c r="AW294" s="176"/>
      <c r="AX294" s="176"/>
      <c r="AY294" s="176"/>
      <c r="AZ294" s="176"/>
      <c r="BA294" s="176"/>
      <c r="BB294" s="176"/>
      <c r="BC294" s="176"/>
      <c r="BD294" s="176"/>
      <c r="BE294" s="176"/>
      <c r="BF294" s="176"/>
      <c r="BG294" s="176"/>
      <c r="BH294" s="176"/>
      <c r="BI294" s="176"/>
      <c r="BJ294" s="176"/>
      <c r="BK294" s="211"/>
      <c r="BL294" s="211"/>
      <c r="BM294" s="184"/>
      <c r="BN294" s="184"/>
      <c r="BO294" s="184"/>
      <c r="BP294" s="184"/>
      <c r="BQ294" s="184"/>
      <c r="BR294" s="184"/>
      <c r="BS294" s="184"/>
      <c r="BT294" s="184"/>
      <c r="BU294" s="184"/>
    </row>
    <row r="295" spans="3:73" s="759" customFormat="1" ht="15">
      <c r="C295" s="760"/>
      <c r="G295" s="763"/>
      <c r="K295" s="762"/>
      <c r="O295" s="763"/>
      <c r="X295" s="184"/>
      <c r="Y295" s="184"/>
      <c r="Z295" s="184"/>
      <c r="AA295" s="184"/>
      <c r="AB295" s="184"/>
      <c r="AC295" s="184"/>
      <c r="AD295" s="184"/>
      <c r="AE295" s="184"/>
      <c r="AF295" s="184"/>
      <c r="AG295" s="184"/>
      <c r="AH295" s="184"/>
      <c r="AI295" s="185"/>
      <c r="AJ295" s="185"/>
      <c r="AK295" s="185"/>
      <c r="AL295" s="185"/>
      <c r="AM295" s="185"/>
      <c r="AN295" s="185"/>
      <c r="AO295" s="209"/>
      <c r="AP295" s="185"/>
      <c r="AQ295" s="185"/>
      <c r="AR295" s="185"/>
      <c r="AS295" s="210"/>
      <c r="AT295" s="176"/>
      <c r="AU295" s="176"/>
      <c r="AV295" s="176"/>
      <c r="AW295" s="176"/>
      <c r="AX295" s="176"/>
      <c r="AY295" s="176"/>
      <c r="AZ295" s="176"/>
      <c r="BA295" s="176"/>
      <c r="BB295" s="176"/>
      <c r="BC295" s="176"/>
      <c r="BD295" s="176"/>
      <c r="BE295" s="176"/>
      <c r="BF295" s="176"/>
      <c r="BG295" s="176"/>
      <c r="BH295" s="176"/>
      <c r="BI295" s="176"/>
      <c r="BJ295" s="176"/>
      <c r="BK295" s="211"/>
      <c r="BL295" s="211"/>
      <c r="BM295" s="184"/>
      <c r="BN295" s="184"/>
      <c r="BO295" s="184"/>
      <c r="BP295" s="184"/>
      <c r="BQ295" s="184"/>
      <c r="BR295" s="184"/>
      <c r="BS295" s="184"/>
      <c r="BT295" s="184"/>
      <c r="BU295" s="184"/>
    </row>
    <row r="296" spans="3:73" s="759" customFormat="1" ht="15">
      <c r="C296" s="760"/>
      <c r="G296" s="763"/>
      <c r="K296" s="762"/>
      <c r="O296" s="763"/>
      <c r="X296" s="184"/>
      <c r="Y296" s="184"/>
      <c r="Z296" s="184"/>
      <c r="AA296" s="184"/>
      <c r="AB296" s="184"/>
      <c r="AC296" s="184"/>
      <c r="AD296" s="184"/>
      <c r="AE296" s="184"/>
      <c r="AF296" s="184"/>
      <c r="AG296" s="184"/>
      <c r="AH296" s="184"/>
      <c r="AI296" s="185"/>
      <c r="AJ296" s="185"/>
      <c r="AK296" s="185"/>
      <c r="AL296" s="185"/>
      <c r="AM296" s="185"/>
      <c r="AN296" s="185"/>
      <c r="AO296" s="209"/>
      <c r="AP296" s="185"/>
      <c r="AQ296" s="185"/>
      <c r="AR296" s="185"/>
      <c r="AS296" s="210"/>
      <c r="AT296" s="176"/>
      <c r="AU296" s="176"/>
      <c r="AV296" s="176"/>
      <c r="AW296" s="176"/>
      <c r="AX296" s="176"/>
      <c r="AY296" s="176"/>
      <c r="AZ296" s="176"/>
      <c r="BA296" s="176"/>
      <c r="BB296" s="176"/>
      <c r="BC296" s="176"/>
      <c r="BD296" s="176"/>
      <c r="BE296" s="176"/>
      <c r="BF296" s="176"/>
      <c r="BG296" s="176"/>
      <c r="BH296" s="176"/>
      <c r="BI296" s="176"/>
      <c r="BJ296" s="176"/>
      <c r="BK296" s="211"/>
      <c r="BL296" s="211"/>
      <c r="BM296" s="184"/>
      <c r="BN296" s="184"/>
      <c r="BO296" s="184"/>
      <c r="BP296" s="184"/>
      <c r="BQ296" s="184"/>
      <c r="BR296" s="184"/>
      <c r="BS296" s="184"/>
      <c r="BT296" s="184"/>
      <c r="BU296" s="184"/>
    </row>
    <row r="297" spans="3:73" s="759" customFormat="1" ht="15">
      <c r="C297" s="760"/>
      <c r="G297" s="763"/>
      <c r="K297" s="762"/>
      <c r="O297" s="763"/>
      <c r="X297" s="184"/>
      <c r="Y297" s="184"/>
      <c r="Z297" s="184"/>
      <c r="AA297" s="184"/>
      <c r="AB297" s="184"/>
      <c r="AC297" s="184"/>
      <c r="AD297" s="184"/>
      <c r="AE297" s="184"/>
      <c r="AF297" s="184"/>
      <c r="AG297" s="184"/>
      <c r="AH297" s="184"/>
      <c r="AI297" s="185"/>
      <c r="AJ297" s="185"/>
      <c r="AK297" s="185"/>
      <c r="AL297" s="185"/>
      <c r="AM297" s="185"/>
      <c r="AN297" s="185"/>
      <c r="AO297" s="209"/>
      <c r="AP297" s="185"/>
      <c r="AQ297" s="185"/>
      <c r="AR297" s="185"/>
      <c r="AS297" s="210"/>
      <c r="AT297" s="176"/>
      <c r="AU297" s="176"/>
      <c r="AV297" s="176"/>
      <c r="AW297" s="176"/>
      <c r="AX297" s="176"/>
      <c r="AY297" s="176"/>
      <c r="AZ297" s="176"/>
      <c r="BA297" s="176"/>
      <c r="BB297" s="176"/>
      <c r="BC297" s="176"/>
      <c r="BD297" s="176"/>
      <c r="BE297" s="176"/>
      <c r="BF297" s="176"/>
      <c r="BG297" s="176"/>
      <c r="BH297" s="176"/>
      <c r="BI297" s="176"/>
      <c r="BJ297" s="176"/>
      <c r="BK297" s="211"/>
      <c r="BL297" s="211"/>
      <c r="BM297" s="184"/>
      <c r="BN297" s="184"/>
      <c r="BO297" s="184"/>
      <c r="BP297" s="184"/>
      <c r="BQ297" s="184"/>
      <c r="BR297" s="184"/>
      <c r="BS297" s="184"/>
      <c r="BT297" s="184"/>
      <c r="BU297" s="184"/>
    </row>
    <row r="298" spans="3:73" s="759" customFormat="1" ht="15">
      <c r="C298" s="760"/>
      <c r="G298" s="763"/>
      <c r="K298" s="762"/>
      <c r="O298" s="763"/>
      <c r="X298" s="184"/>
      <c r="Y298" s="184"/>
      <c r="Z298" s="184"/>
      <c r="AA298" s="184"/>
      <c r="AB298" s="184"/>
      <c r="AC298" s="184"/>
      <c r="AD298" s="184"/>
      <c r="AE298" s="184"/>
      <c r="AF298" s="184"/>
      <c r="AG298" s="184"/>
      <c r="AH298" s="184"/>
      <c r="AI298" s="185"/>
      <c r="AJ298" s="185"/>
      <c r="AK298" s="185"/>
      <c r="AL298" s="185"/>
      <c r="AM298" s="185"/>
      <c r="AN298" s="185"/>
      <c r="AO298" s="209"/>
      <c r="AP298" s="185"/>
      <c r="AQ298" s="185"/>
      <c r="AR298" s="185"/>
      <c r="AS298" s="210"/>
      <c r="AT298" s="176"/>
      <c r="AU298" s="176"/>
      <c r="AV298" s="176"/>
      <c r="AW298" s="176"/>
      <c r="AX298" s="176"/>
      <c r="AY298" s="176"/>
      <c r="AZ298" s="176"/>
      <c r="BA298" s="176"/>
      <c r="BB298" s="176"/>
      <c r="BC298" s="176"/>
      <c r="BD298" s="176"/>
      <c r="BE298" s="176"/>
      <c r="BF298" s="176"/>
      <c r="BG298" s="176"/>
      <c r="BH298" s="176"/>
      <c r="BI298" s="176"/>
      <c r="BJ298" s="176"/>
      <c r="BK298" s="211"/>
      <c r="BL298" s="211"/>
      <c r="BM298" s="184"/>
      <c r="BN298" s="184"/>
      <c r="BO298" s="184"/>
      <c r="BP298" s="184"/>
      <c r="BQ298" s="184"/>
      <c r="BR298" s="184"/>
      <c r="BS298" s="184"/>
      <c r="BT298" s="184"/>
      <c r="BU298" s="184"/>
    </row>
    <row r="299" spans="3:73" s="759" customFormat="1" ht="15">
      <c r="C299" s="760"/>
      <c r="G299" s="763"/>
      <c r="K299" s="762"/>
      <c r="O299" s="763"/>
      <c r="X299" s="184"/>
      <c r="Y299" s="184"/>
      <c r="Z299" s="184"/>
      <c r="AA299" s="184"/>
      <c r="AB299" s="184"/>
      <c r="AC299" s="184"/>
      <c r="AD299" s="184"/>
      <c r="AE299" s="184"/>
      <c r="AF299" s="184"/>
      <c r="AG299" s="184"/>
      <c r="AH299" s="184"/>
      <c r="AI299" s="185"/>
      <c r="AJ299" s="185"/>
      <c r="AK299" s="185"/>
      <c r="AL299" s="185"/>
      <c r="AM299" s="185"/>
      <c r="AN299" s="185"/>
      <c r="AO299" s="209"/>
      <c r="AP299" s="185"/>
      <c r="AQ299" s="185"/>
      <c r="AR299" s="185"/>
      <c r="AS299" s="210"/>
      <c r="AT299" s="176"/>
      <c r="AU299" s="176"/>
      <c r="AV299" s="176"/>
      <c r="AW299" s="176"/>
      <c r="AX299" s="176"/>
      <c r="AY299" s="176"/>
      <c r="AZ299" s="176"/>
      <c r="BA299" s="176"/>
      <c r="BB299" s="176"/>
      <c r="BC299" s="176"/>
      <c r="BD299" s="176"/>
      <c r="BE299" s="176"/>
      <c r="BF299" s="176"/>
      <c r="BG299" s="176"/>
      <c r="BH299" s="176"/>
      <c r="BI299" s="176"/>
      <c r="BJ299" s="176"/>
      <c r="BK299" s="211"/>
      <c r="BL299" s="211"/>
      <c r="BM299" s="184"/>
      <c r="BN299" s="184"/>
      <c r="BO299" s="184"/>
      <c r="BP299" s="184"/>
      <c r="BQ299" s="184"/>
      <c r="BR299" s="184"/>
      <c r="BS299" s="184"/>
      <c r="BT299" s="184"/>
      <c r="BU299" s="184"/>
    </row>
    <row r="300" spans="3:73" s="759" customFormat="1" ht="15">
      <c r="C300" s="760"/>
      <c r="G300" s="763"/>
      <c r="K300" s="762"/>
      <c r="O300" s="763"/>
      <c r="X300" s="184"/>
      <c r="Y300" s="184"/>
      <c r="Z300" s="184"/>
      <c r="AA300" s="184"/>
      <c r="AB300" s="184"/>
      <c r="AC300" s="184"/>
      <c r="AD300" s="184"/>
      <c r="AE300" s="184"/>
      <c r="AF300" s="184"/>
      <c r="AG300" s="184"/>
      <c r="AH300" s="184"/>
      <c r="AI300" s="185"/>
      <c r="AJ300" s="185"/>
      <c r="AK300" s="185"/>
      <c r="AL300" s="185"/>
      <c r="AM300" s="185"/>
      <c r="AN300" s="185"/>
      <c r="AO300" s="209"/>
      <c r="AP300" s="185"/>
      <c r="AQ300" s="185"/>
      <c r="AR300" s="185"/>
      <c r="AS300" s="210"/>
      <c r="AT300" s="176"/>
      <c r="AU300" s="176"/>
      <c r="AV300" s="176"/>
      <c r="AW300" s="176"/>
      <c r="AX300" s="176"/>
      <c r="AY300" s="176"/>
      <c r="AZ300" s="176"/>
      <c r="BA300" s="176"/>
      <c r="BB300" s="176"/>
      <c r="BC300" s="176"/>
      <c r="BD300" s="176"/>
      <c r="BE300" s="176"/>
      <c r="BF300" s="176"/>
      <c r="BG300" s="176"/>
      <c r="BH300" s="176"/>
      <c r="BI300" s="176"/>
      <c r="BJ300" s="176"/>
      <c r="BK300" s="211"/>
      <c r="BL300" s="211"/>
      <c r="BM300" s="184"/>
      <c r="BN300" s="184"/>
      <c r="BO300" s="184"/>
      <c r="BP300" s="184"/>
      <c r="BQ300" s="184"/>
      <c r="BR300" s="184"/>
      <c r="BS300" s="184"/>
      <c r="BT300" s="184"/>
      <c r="BU300" s="184"/>
    </row>
    <row r="301" spans="3:73" s="759" customFormat="1" ht="15">
      <c r="C301" s="760"/>
      <c r="G301" s="763"/>
      <c r="K301" s="762"/>
      <c r="O301" s="763"/>
      <c r="X301" s="184"/>
      <c r="Y301" s="184"/>
      <c r="Z301" s="184"/>
      <c r="AA301" s="184"/>
      <c r="AB301" s="184"/>
      <c r="AC301" s="184"/>
      <c r="AD301" s="184"/>
      <c r="AE301" s="184"/>
      <c r="AF301" s="184"/>
      <c r="AG301" s="184"/>
      <c r="AH301" s="184"/>
      <c r="AI301" s="185"/>
      <c r="AJ301" s="185"/>
      <c r="AK301" s="185"/>
      <c r="AL301" s="185"/>
      <c r="AM301" s="185"/>
      <c r="AN301" s="185"/>
      <c r="AO301" s="209"/>
      <c r="AP301" s="185"/>
      <c r="AQ301" s="185"/>
      <c r="AR301" s="185"/>
      <c r="AS301" s="210"/>
      <c r="AT301" s="176"/>
      <c r="AU301" s="176"/>
      <c r="AV301" s="176"/>
      <c r="AW301" s="176"/>
      <c r="AX301" s="176"/>
      <c r="AY301" s="176"/>
      <c r="AZ301" s="176"/>
      <c r="BA301" s="176"/>
      <c r="BB301" s="176"/>
      <c r="BC301" s="176"/>
      <c r="BD301" s="176"/>
      <c r="BE301" s="176"/>
      <c r="BF301" s="176"/>
      <c r="BG301" s="176"/>
      <c r="BH301" s="176"/>
      <c r="BI301" s="176"/>
      <c r="BJ301" s="176"/>
      <c r="BK301" s="211"/>
      <c r="BL301" s="211"/>
      <c r="BM301" s="184"/>
      <c r="BN301" s="184"/>
      <c r="BO301" s="184"/>
      <c r="BP301" s="184"/>
      <c r="BQ301" s="184"/>
      <c r="BR301" s="184"/>
      <c r="BS301" s="184"/>
      <c r="BT301" s="184"/>
      <c r="BU301" s="184"/>
    </row>
    <row r="302" spans="3:73" s="759" customFormat="1" ht="15">
      <c r="C302" s="760"/>
      <c r="G302" s="763"/>
      <c r="K302" s="762"/>
      <c r="O302" s="763"/>
      <c r="X302" s="184"/>
      <c r="Y302" s="184"/>
      <c r="Z302" s="184"/>
      <c r="AA302" s="184"/>
      <c r="AB302" s="184"/>
      <c r="AC302" s="184"/>
      <c r="AD302" s="184"/>
      <c r="AE302" s="184"/>
      <c r="AF302" s="184"/>
      <c r="AG302" s="184"/>
      <c r="AH302" s="184"/>
      <c r="AI302" s="185"/>
      <c r="AJ302" s="185"/>
      <c r="AK302" s="185"/>
      <c r="AL302" s="185"/>
      <c r="AM302" s="185"/>
      <c r="AN302" s="185"/>
      <c r="AO302" s="209"/>
      <c r="AP302" s="185"/>
      <c r="AQ302" s="185"/>
      <c r="AR302" s="185"/>
      <c r="AS302" s="210"/>
      <c r="AT302" s="176"/>
      <c r="AU302" s="176"/>
      <c r="AV302" s="176"/>
      <c r="AW302" s="176"/>
      <c r="AX302" s="176"/>
      <c r="AY302" s="176"/>
      <c r="AZ302" s="176"/>
      <c r="BA302" s="176"/>
      <c r="BB302" s="176"/>
      <c r="BC302" s="176"/>
      <c r="BD302" s="176"/>
      <c r="BE302" s="176"/>
      <c r="BF302" s="176"/>
      <c r="BG302" s="176"/>
      <c r="BH302" s="176"/>
      <c r="BI302" s="176"/>
      <c r="BJ302" s="176"/>
      <c r="BK302" s="211"/>
      <c r="BL302" s="211"/>
      <c r="BM302" s="184"/>
      <c r="BN302" s="184"/>
      <c r="BO302" s="184"/>
      <c r="BP302" s="184"/>
      <c r="BQ302" s="184"/>
      <c r="BR302" s="184"/>
      <c r="BS302" s="184"/>
      <c r="BT302" s="184"/>
      <c r="BU302" s="184"/>
    </row>
    <row r="303" spans="3:73" s="759" customFormat="1" ht="15">
      <c r="C303" s="760"/>
      <c r="G303" s="763"/>
      <c r="K303" s="762"/>
      <c r="O303" s="763"/>
      <c r="X303" s="184"/>
      <c r="Y303" s="184"/>
      <c r="Z303" s="184"/>
      <c r="AA303" s="184"/>
      <c r="AB303" s="184"/>
      <c r="AC303" s="184"/>
      <c r="AD303" s="184"/>
      <c r="AE303" s="184"/>
      <c r="AF303" s="184"/>
      <c r="AG303" s="184"/>
      <c r="AH303" s="184"/>
      <c r="AI303" s="185"/>
      <c r="AJ303" s="185"/>
      <c r="AK303" s="185"/>
      <c r="AL303" s="185"/>
      <c r="AM303" s="185"/>
      <c r="AN303" s="185"/>
      <c r="AO303" s="209"/>
      <c r="AP303" s="185"/>
      <c r="AQ303" s="185"/>
      <c r="AR303" s="185"/>
      <c r="AS303" s="210"/>
      <c r="AT303" s="176"/>
      <c r="AU303" s="176"/>
      <c r="AV303" s="176"/>
      <c r="AW303" s="176"/>
      <c r="AX303" s="176"/>
      <c r="AY303" s="176"/>
      <c r="AZ303" s="176"/>
      <c r="BA303" s="176"/>
      <c r="BB303" s="176"/>
      <c r="BC303" s="176"/>
      <c r="BD303" s="176"/>
      <c r="BE303" s="176"/>
      <c r="BF303" s="176"/>
      <c r="BG303" s="176"/>
      <c r="BH303" s="176"/>
      <c r="BI303" s="176"/>
      <c r="BJ303" s="176"/>
      <c r="BK303" s="211"/>
      <c r="BL303" s="211"/>
      <c r="BM303" s="184"/>
      <c r="BN303" s="184"/>
      <c r="BO303" s="184"/>
      <c r="BP303" s="184"/>
      <c r="BQ303" s="184"/>
      <c r="BR303" s="184"/>
      <c r="BS303" s="184"/>
      <c r="BT303" s="184"/>
      <c r="BU303" s="184"/>
    </row>
    <row r="304" spans="3:73" s="759" customFormat="1" ht="15">
      <c r="C304" s="760"/>
      <c r="G304" s="763"/>
      <c r="K304" s="762"/>
      <c r="O304" s="763"/>
      <c r="X304" s="184"/>
      <c r="Y304" s="184"/>
      <c r="Z304" s="184"/>
      <c r="AA304" s="184"/>
      <c r="AB304" s="184"/>
      <c r="AC304" s="184"/>
      <c r="AD304" s="184"/>
      <c r="AE304" s="184"/>
      <c r="AF304" s="184"/>
      <c r="AG304" s="184"/>
      <c r="AH304" s="184"/>
      <c r="AI304" s="185"/>
      <c r="AJ304" s="185"/>
      <c r="AK304" s="185"/>
      <c r="AL304" s="185"/>
      <c r="AM304" s="185"/>
      <c r="AN304" s="185"/>
      <c r="AO304" s="209"/>
      <c r="AP304" s="185"/>
      <c r="AQ304" s="185"/>
      <c r="AR304" s="185"/>
      <c r="AS304" s="210"/>
      <c r="AT304" s="176"/>
      <c r="AU304" s="176"/>
      <c r="AV304" s="176"/>
      <c r="AW304" s="176"/>
      <c r="AX304" s="176"/>
      <c r="AY304" s="176"/>
      <c r="AZ304" s="176"/>
      <c r="BA304" s="176"/>
      <c r="BB304" s="176"/>
      <c r="BC304" s="176"/>
      <c r="BD304" s="176"/>
      <c r="BE304" s="176"/>
      <c r="BF304" s="176"/>
      <c r="BG304" s="176"/>
      <c r="BH304" s="176"/>
      <c r="BI304" s="176"/>
      <c r="BJ304" s="176"/>
      <c r="BK304" s="211"/>
      <c r="BL304" s="211"/>
      <c r="BM304" s="184"/>
      <c r="BN304" s="184"/>
      <c r="BO304" s="184"/>
      <c r="BP304" s="184"/>
      <c r="BQ304" s="184"/>
      <c r="BR304" s="184"/>
      <c r="BS304" s="184"/>
      <c r="BT304" s="184"/>
      <c r="BU304" s="184"/>
    </row>
    <row r="305" spans="3:73" s="759" customFormat="1" ht="15">
      <c r="C305" s="760"/>
      <c r="G305" s="763"/>
      <c r="K305" s="762"/>
      <c r="O305" s="763"/>
      <c r="X305" s="184"/>
      <c r="Y305" s="184"/>
      <c r="Z305" s="184"/>
      <c r="AA305" s="184"/>
      <c r="AB305" s="184"/>
      <c r="AC305" s="184"/>
      <c r="AD305" s="184"/>
      <c r="AE305" s="184"/>
      <c r="AF305" s="184"/>
      <c r="AG305" s="184"/>
      <c r="AH305" s="184"/>
      <c r="AI305" s="185"/>
      <c r="AJ305" s="185"/>
      <c r="AK305" s="185"/>
      <c r="AL305" s="185"/>
      <c r="AM305" s="185"/>
      <c r="AN305" s="185"/>
      <c r="AO305" s="209"/>
      <c r="AP305" s="185"/>
      <c r="AQ305" s="185"/>
      <c r="AR305" s="185"/>
      <c r="AS305" s="210"/>
      <c r="AT305" s="176"/>
      <c r="AU305" s="176"/>
      <c r="AV305" s="176"/>
      <c r="AW305" s="176"/>
      <c r="AX305" s="176"/>
      <c r="AY305" s="176"/>
      <c r="AZ305" s="176"/>
      <c r="BA305" s="176"/>
      <c r="BB305" s="176"/>
      <c r="BC305" s="176"/>
      <c r="BD305" s="176"/>
      <c r="BE305" s="176"/>
      <c r="BF305" s="176"/>
      <c r="BG305" s="176"/>
      <c r="BH305" s="176"/>
      <c r="BI305" s="176"/>
      <c r="BJ305" s="176"/>
      <c r="BK305" s="211"/>
      <c r="BL305" s="211"/>
      <c r="BM305" s="184"/>
      <c r="BN305" s="184"/>
      <c r="BO305" s="184"/>
      <c r="BP305" s="184"/>
      <c r="BQ305" s="184"/>
      <c r="BR305" s="184"/>
      <c r="BS305" s="184"/>
      <c r="BT305" s="184"/>
      <c r="BU305" s="184"/>
    </row>
    <row r="306" spans="3:73" s="759" customFormat="1" ht="15">
      <c r="C306" s="760"/>
      <c r="G306" s="763"/>
      <c r="K306" s="762"/>
      <c r="O306" s="763"/>
      <c r="X306" s="184"/>
      <c r="Y306" s="184"/>
      <c r="Z306" s="184"/>
      <c r="AA306" s="184"/>
      <c r="AB306" s="184"/>
      <c r="AC306" s="184"/>
      <c r="AD306" s="184"/>
      <c r="AE306" s="184"/>
      <c r="AF306" s="184"/>
      <c r="AG306" s="184"/>
      <c r="AH306" s="184"/>
      <c r="AI306" s="185"/>
      <c r="AJ306" s="185"/>
      <c r="AK306" s="185"/>
      <c r="AL306" s="185"/>
      <c r="AM306" s="185"/>
      <c r="AN306" s="185"/>
      <c r="AO306" s="209"/>
      <c r="AP306" s="185"/>
      <c r="AQ306" s="185"/>
      <c r="AR306" s="185"/>
      <c r="AS306" s="210"/>
      <c r="AT306" s="176"/>
      <c r="AU306" s="176"/>
      <c r="AV306" s="176"/>
      <c r="AW306" s="176"/>
      <c r="AX306" s="176"/>
      <c r="AY306" s="176"/>
      <c r="AZ306" s="176"/>
      <c r="BA306" s="176"/>
      <c r="BB306" s="176"/>
      <c r="BC306" s="176"/>
      <c r="BD306" s="176"/>
      <c r="BE306" s="176"/>
      <c r="BF306" s="176"/>
      <c r="BG306" s="176"/>
      <c r="BH306" s="176"/>
      <c r="BI306" s="176"/>
      <c r="BJ306" s="176"/>
      <c r="BK306" s="211"/>
      <c r="BL306" s="211"/>
      <c r="BM306" s="184"/>
      <c r="BN306" s="184"/>
      <c r="BO306" s="184"/>
      <c r="BP306" s="184"/>
      <c r="BQ306" s="184"/>
      <c r="BR306" s="184"/>
      <c r="BS306" s="184"/>
      <c r="BT306" s="184"/>
      <c r="BU306" s="184"/>
    </row>
    <row r="307" spans="3:73" s="759" customFormat="1" ht="15">
      <c r="C307" s="760"/>
      <c r="G307" s="763"/>
      <c r="K307" s="762"/>
      <c r="O307" s="763"/>
      <c r="X307" s="184"/>
      <c r="Y307" s="184"/>
      <c r="Z307" s="184"/>
      <c r="AA307" s="184"/>
      <c r="AB307" s="184"/>
      <c r="AC307" s="184"/>
      <c r="AD307" s="184"/>
      <c r="AE307" s="184"/>
      <c r="AF307" s="184"/>
      <c r="AG307" s="184"/>
      <c r="AH307" s="184"/>
      <c r="AI307" s="185"/>
      <c r="AJ307" s="185"/>
      <c r="AK307" s="185"/>
      <c r="AL307" s="185"/>
      <c r="AM307" s="185"/>
      <c r="AN307" s="185"/>
      <c r="AO307" s="209"/>
      <c r="AP307" s="185"/>
      <c r="AQ307" s="185"/>
      <c r="AR307" s="185"/>
      <c r="AS307" s="210"/>
      <c r="AT307" s="176"/>
      <c r="AU307" s="176"/>
      <c r="AV307" s="176"/>
      <c r="AW307" s="176"/>
      <c r="AX307" s="176"/>
      <c r="AY307" s="176"/>
      <c r="AZ307" s="176"/>
      <c r="BA307" s="176"/>
      <c r="BB307" s="176"/>
      <c r="BC307" s="176"/>
      <c r="BD307" s="176"/>
      <c r="BE307" s="176"/>
      <c r="BF307" s="176"/>
      <c r="BG307" s="176"/>
      <c r="BH307" s="176"/>
      <c r="BI307" s="176"/>
      <c r="BJ307" s="176"/>
      <c r="BK307" s="211"/>
      <c r="BL307" s="211"/>
      <c r="BM307" s="184"/>
      <c r="BN307" s="184"/>
      <c r="BO307" s="184"/>
      <c r="BP307" s="184"/>
      <c r="BQ307" s="184"/>
      <c r="BR307" s="184"/>
      <c r="BS307" s="184"/>
      <c r="BT307" s="184"/>
      <c r="BU307" s="184"/>
    </row>
    <row r="308" spans="3:73" s="759" customFormat="1" ht="15">
      <c r="C308" s="760"/>
      <c r="G308" s="763"/>
      <c r="K308" s="762"/>
      <c r="O308" s="763"/>
      <c r="X308" s="184"/>
      <c r="Y308" s="184"/>
      <c r="Z308" s="184"/>
      <c r="AA308" s="184"/>
      <c r="AB308" s="184"/>
      <c r="AC308" s="184"/>
      <c r="AD308" s="184"/>
      <c r="AE308" s="184"/>
      <c r="AF308" s="184"/>
      <c r="AG308" s="184"/>
      <c r="AH308" s="184"/>
      <c r="AI308" s="185"/>
      <c r="AJ308" s="185"/>
      <c r="AK308" s="185"/>
      <c r="AL308" s="185"/>
      <c r="AM308" s="185"/>
      <c r="AN308" s="185"/>
      <c r="AO308" s="209"/>
      <c r="AP308" s="185"/>
      <c r="AQ308" s="185"/>
      <c r="AR308" s="185"/>
      <c r="AS308" s="210"/>
      <c r="AT308" s="176"/>
      <c r="AU308" s="176"/>
      <c r="AV308" s="176"/>
      <c r="AW308" s="176"/>
      <c r="AX308" s="176"/>
      <c r="AY308" s="176"/>
      <c r="AZ308" s="176"/>
      <c r="BA308" s="176"/>
      <c r="BB308" s="176"/>
      <c r="BC308" s="176"/>
      <c r="BD308" s="176"/>
      <c r="BE308" s="176"/>
      <c r="BF308" s="176"/>
      <c r="BG308" s="176"/>
      <c r="BH308" s="176"/>
      <c r="BI308" s="176"/>
      <c r="BJ308" s="176"/>
      <c r="BK308" s="211"/>
      <c r="BL308" s="211"/>
      <c r="BM308" s="184"/>
      <c r="BN308" s="184"/>
      <c r="BO308" s="184"/>
      <c r="BP308" s="184"/>
      <c r="BQ308" s="184"/>
      <c r="BR308" s="184"/>
      <c r="BS308" s="184"/>
      <c r="BT308" s="184"/>
      <c r="BU308" s="184"/>
    </row>
    <row r="309" spans="3:73" s="759" customFormat="1" ht="15">
      <c r="C309" s="760"/>
      <c r="G309" s="763"/>
      <c r="K309" s="762"/>
      <c r="O309" s="763"/>
      <c r="X309" s="184"/>
      <c r="Y309" s="184"/>
      <c r="Z309" s="184"/>
      <c r="AA309" s="184"/>
      <c r="AB309" s="184"/>
      <c r="AC309" s="184"/>
      <c r="AD309" s="184"/>
      <c r="AE309" s="184"/>
      <c r="AF309" s="184"/>
      <c r="AG309" s="184"/>
      <c r="AH309" s="184"/>
      <c r="AI309" s="185"/>
      <c r="AJ309" s="185"/>
      <c r="AK309" s="185"/>
      <c r="AL309" s="185"/>
      <c r="AM309" s="185"/>
      <c r="AN309" s="185"/>
      <c r="AO309" s="209"/>
      <c r="AP309" s="185"/>
      <c r="AQ309" s="185"/>
      <c r="AR309" s="185"/>
      <c r="AS309" s="210"/>
      <c r="AT309" s="176"/>
      <c r="AU309" s="176"/>
      <c r="AV309" s="176"/>
      <c r="AW309" s="176"/>
      <c r="AX309" s="176"/>
      <c r="AY309" s="176"/>
      <c r="AZ309" s="176"/>
      <c r="BA309" s="176"/>
      <c r="BB309" s="176"/>
      <c r="BC309" s="176"/>
      <c r="BD309" s="176"/>
      <c r="BE309" s="176"/>
      <c r="BF309" s="176"/>
      <c r="BG309" s="176"/>
      <c r="BH309" s="176"/>
      <c r="BI309" s="176"/>
      <c r="BJ309" s="176"/>
      <c r="BK309" s="211"/>
      <c r="BL309" s="211"/>
      <c r="BM309" s="184"/>
      <c r="BN309" s="184"/>
      <c r="BO309" s="184"/>
      <c r="BP309" s="184"/>
      <c r="BQ309" s="184"/>
      <c r="BR309" s="184"/>
      <c r="BS309" s="184"/>
      <c r="BT309" s="184"/>
      <c r="BU309" s="184"/>
    </row>
    <row r="310" spans="3:73" s="759" customFormat="1" ht="15">
      <c r="C310" s="760"/>
      <c r="G310" s="763"/>
      <c r="K310" s="762"/>
      <c r="O310" s="763"/>
      <c r="X310" s="184"/>
      <c r="Y310" s="184"/>
      <c r="Z310" s="184"/>
      <c r="AA310" s="184"/>
      <c r="AB310" s="184"/>
      <c r="AC310" s="184"/>
      <c r="AD310" s="184"/>
      <c r="AE310" s="184"/>
      <c r="AF310" s="184"/>
      <c r="AG310" s="184"/>
      <c r="AH310" s="184"/>
      <c r="AI310" s="185"/>
      <c r="AJ310" s="185"/>
      <c r="AK310" s="185"/>
      <c r="AL310" s="185"/>
      <c r="AM310" s="185"/>
      <c r="AN310" s="185"/>
      <c r="AO310" s="209"/>
      <c r="AP310" s="185"/>
      <c r="AQ310" s="185"/>
      <c r="AR310" s="185"/>
      <c r="AS310" s="210"/>
      <c r="AT310" s="176"/>
      <c r="AU310" s="176"/>
      <c r="AV310" s="176"/>
      <c r="AW310" s="176"/>
      <c r="AX310" s="176"/>
      <c r="AY310" s="176"/>
      <c r="AZ310" s="176"/>
      <c r="BA310" s="176"/>
      <c r="BB310" s="176"/>
      <c r="BC310" s="176"/>
      <c r="BD310" s="176"/>
      <c r="BE310" s="176"/>
      <c r="BF310" s="176"/>
      <c r="BG310" s="176"/>
      <c r="BH310" s="176"/>
      <c r="BI310" s="176"/>
      <c r="BJ310" s="176"/>
      <c r="BK310" s="211"/>
      <c r="BL310" s="211"/>
      <c r="BM310" s="184"/>
      <c r="BN310" s="184"/>
      <c r="BO310" s="184"/>
      <c r="BP310" s="184"/>
      <c r="BQ310" s="184"/>
      <c r="BR310" s="184"/>
      <c r="BS310" s="184"/>
      <c r="BT310" s="184"/>
      <c r="BU310" s="184"/>
    </row>
    <row r="311" spans="3:73" s="759" customFormat="1" ht="15">
      <c r="C311" s="760"/>
      <c r="G311" s="763"/>
      <c r="K311" s="762"/>
      <c r="O311" s="763"/>
      <c r="X311" s="184"/>
      <c r="Y311" s="184"/>
      <c r="Z311" s="184"/>
      <c r="AA311" s="184"/>
      <c r="AB311" s="184"/>
      <c r="AC311" s="184"/>
      <c r="AD311" s="184"/>
      <c r="AE311" s="184"/>
      <c r="AF311" s="184"/>
      <c r="AG311" s="184"/>
      <c r="AH311" s="184"/>
      <c r="AI311" s="185"/>
      <c r="AJ311" s="185"/>
      <c r="AK311" s="185"/>
      <c r="AL311" s="185"/>
      <c r="AM311" s="185"/>
      <c r="AN311" s="185"/>
      <c r="AO311" s="209"/>
      <c r="AP311" s="185"/>
      <c r="AQ311" s="185"/>
      <c r="AR311" s="185"/>
      <c r="AS311" s="210"/>
      <c r="AT311" s="176"/>
      <c r="AU311" s="176"/>
      <c r="AV311" s="176"/>
      <c r="AW311" s="176"/>
      <c r="AX311" s="176"/>
      <c r="AY311" s="176"/>
      <c r="AZ311" s="176"/>
      <c r="BA311" s="176"/>
      <c r="BB311" s="176"/>
      <c r="BC311" s="176"/>
      <c r="BD311" s="176"/>
      <c r="BE311" s="176"/>
      <c r="BF311" s="176"/>
      <c r="BG311" s="176"/>
      <c r="BH311" s="176"/>
      <c r="BI311" s="176"/>
      <c r="BJ311" s="176"/>
      <c r="BK311" s="211"/>
      <c r="BL311" s="211"/>
      <c r="BM311" s="184"/>
      <c r="BN311" s="184"/>
      <c r="BO311" s="184"/>
      <c r="BP311" s="184"/>
      <c r="BQ311" s="184"/>
      <c r="BR311" s="184"/>
      <c r="BS311" s="184"/>
      <c r="BT311" s="184"/>
      <c r="BU311" s="184"/>
    </row>
    <row r="312" spans="3:73" s="759" customFormat="1" ht="15">
      <c r="C312" s="760"/>
      <c r="G312" s="763"/>
      <c r="K312" s="762"/>
      <c r="O312" s="763"/>
      <c r="X312" s="184"/>
      <c r="Y312" s="184"/>
      <c r="Z312" s="184"/>
      <c r="AA312" s="184"/>
      <c r="AB312" s="184"/>
      <c r="AC312" s="184"/>
      <c r="AD312" s="184"/>
      <c r="AE312" s="184"/>
      <c r="AF312" s="184"/>
      <c r="AG312" s="184"/>
      <c r="AH312" s="184"/>
      <c r="AI312" s="185"/>
      <c r="AJ312" s="185"/>
      <c r="AK312" s="185"/>
      <c r="AL312" s="185"/>
      <c r="AM312" s="185"/>
      <c r="AN312" s="185"/>
      <c r="AO312" s="209"/>
      <c r="AP312" s="185"/>
      <c r="AQ312" s="185"/>
      <c r="AR312" s="185"/>
      <c r="AS312" s="210"/>
      <c r="AT312" s="176"/>
      <c r="AU312" s="176"/>
      <c r="AV312" s="176"/>
      <c r="AW312" s="176"/>
      <c r="AX312" s="176"/>
      <c r="AY312" s="176"/>
      <c r="AZ312" s="176"/>
      <c r="BA312" s="176"/>
      <c r="BB312" s="176"/>
      <c r="BC312" s="176"/>
      <c r="BD312" s="176"/>
      <c r="BE312" s="176"/>
      <c r="BF312" s="176"/>
      <c r="BG312" s="176"/>
      <c r="BH312" s="176"/>
      <c r="BI312" s="176"/>
      <c r="BJ312" s="176"/>
      <c r="BK312" s="211"/>
      <c r="BL312" s="211"/>
      <c r="BM312" s="184"/>
      <c r="BN312" s="184"/>
      <c r="BO312" s="184"/>
      <c r="BP312" s="184"/>
      <c r="BQ312" s="184"/>
      <c r="BR312" s="184"/>
      <c r="BS312" s="184"/>
      <c r="BT312" s="184"/>
      <c r="BU312" s="184"/>
    </row>
    <row r="313" spans="3:73" s="759" customFormat="1" ht="15">
      <c r="C313" s="760"/>
      <c r="G313" s="763"/>
      <c r="K313" s="762"/>
      <c r="O313" s="763"/>
      <c r="X313" s="184"/>
      <c r="Y313" s="184"/>
      <c r="Z313" s="184"/>
      <c r="AA313" s="184"/>
      <c r="AB313" s="184"/>
      <c r="AC313" s="184"/>
      <c r="AD313" s="184"/>
      <c r="AE313" s="184"/>
      <c r="AF313" s="184"/>
      <c r="AG313" s="184"/>
      <c r="AH313" s="184"/>
      <c r="AI313" s="185"/>
      <c r="AJ313" s="185"/>
      <c r="AK313" s="185"/>
      <c r="AL313" s="185"/>
      <c r="AM313" s="185"/>
      <c r="AN313" s="185"/>
      <c r="AO313" s="209"/>
      <c r="AP313" s="185"/>
      <c r="AQ313" s="185"/>
      <c r="AR313" s="185"/>
      <c r="AS313" s="210"/>
      <c r="AT313" s="176"/>
      <c r="AU313" s="176"/>
      <c r="AV313" s="176"/>
      <c r="AW313" s="176"/>
      <c r="AX313" s="176"/>
      <c r="AY313" s="176"/>
      <c r="AZ313" s="176"/>
      <c r="BA313" s="176"/>
      <c r="BB313" s="176"/>
      <c r="BC313" s="176"/>
      <c r="BD313" s="176"/>
      <c r="BE313" s="176"/>
      <c r="BF313" s="176"/>
      <c r="BG313" s="176"/>
      <c r="BH313" s="176"/>
      <c r="BI313" s="176"/>
      <c r="BJ313" s="176"/>
      <c r="BK313" s="211"/>
      <c r="BL313" s="211"/>
      <c r="BM313" s="184"/>
      <c r="BN313" s="184"/>
      <c r="BO313" s="184"/>
      <c r="BP313" s="184"/>
      <c r="BQ313" s="184"/>
      <c r="BR313" s="184"/>
      <c r="BS313" s="184"/>
      <c r="BT313" s="184"/>
      <c r="BU313" s="184"/>
    </row>
    <row r="314" spans="3:73" s="759" customFormat="1" ht="15">
      <c r="C314" s="760"/>
      <c r="G314" s="763"/>
      <c r="K314" s="762"/>
      <c r="O314" s="763"/>
      <c r="X314" s="184"/>
      <c r="Y314" s="184"/>
      <c r="Z314" s="184"/>
      <c r="AA314" s="184"/>
      <c r="AB314" s="184"/>
      <c r="AC314" s="184"/>
      <c r="AD314" s="184"/>
      <c r="AE314" s="184"/>
      <c r="AF314" s="184"/>
      <c r="AG314" s="184"/>
      <c r="AH314" s="184"/>
      <c r="AI314" s="185"/>
      <c r="AJ314" s="185"/>
      <c r="AK314" s="185"/>
      <c r="AL314" s="185"/>
      <c r="AM314" s="185"/>
      <c r="AN314" s="185"/>
      <c r="AO314" s="209"/>
      <c r="AP314" s="185"/>
      <c r="AQ314" s="185"/>
      <c r="AR314" s="185"/>
      <c r="AS314" s="210"/>
      <c r="AT314" s="176"/>
      <c r="AU314" s="176"/>
      <c r="AV314" s="176"/>
      <c r="AW314" s="176"/>
      <c r="AX314" s="176"/>
      <c r="AY314" s="176"/>
      <c r="AZ314" s="176"/>
      <c r="BA314" s="176"/>
      <c r="BB314" s="176"/>
      <c r="BC314" s="176"/>
      <c r="BD314" s="176"/>
      <c r="BE314" s="176"/>
      <c r="BF314" s="176"/>
      <c r="BG314" s="176"/>
      <c r="BH314" s="176"/>
      <c r="BI314" s="176"/>
      <c r="BJ314" s="176"/>
      <c r="BK314" s="211"/>
      <c r="BL314" s="211"/>
      <c r="BM314" s="184"/>
      <c r="BN314" s="184"/>
      <c r="BO314" s="184"/>
      <c r="BP314" s="184"/>
      <c r="BQ314" s="184"/>
      <c r="BR314" s="184"/>
      <c r="BS314" s="184"/>
      <c r="BT314" s="184"/>
      <c r="BU314" s="184"/>
    </row>
    <row r="315" spans="3:73" s="759" customFormat="1" ht="15">
      <c r="C315" s="760"/>
      <c r="G315" s="763"/>
      <c r="K315" s="762"/>
      <c r="O315" s="763"/>
      <c r="X315" s="184"/>
      <c r="Y315" s="184"/>
      <c r="Z315" s="184"/>
      <c r="AA315" s="184"/>
      <c r="AB315" s="184"/>
      <c r="AC315" s="184"/>
      <c r="AD315" s="184"/>
      <c r="AE315" s="184"/>
      <c r="AF315" s="184"/>
      <c r="AG315" s="184"/>
      <c r="AH315" s="184"/>
      <c r="AI315" s="185"/>
      <c r="AJ315" s="185"/>
      <c r="AK315" s="185"/>
      <c r="AL315" s="185"/>
      <c r="AM315" s="185"/>
      <c r="AN315" s="185"/>
      <c r="AO315" s="209"/>
      <c r="AP315" s="185"/>
      <c r="AQ315" s="185"/>
      <c r="AR315" s="185"/>
      <c r="AS315" s="210"/>
      <c r="AT315" s="176"/>
      <c r="AU315" s="176"/>
      <c r="AV315" s="176"/>
      <c r="AW315" s="176"/>
      <c r="AX315" s="176"/>
      <c r="AY315" s="176"/>
      <c r="AZ315" s="176"/>
      <c r="BA315" s="176"/>
      <c r="BB315" s="176"/>
      <c r="BC315" s="176"/>
      <c r="BD315" s="176"/>
      <c r="BE315" s="176"/>
      <c r="BF315" s="176"/>
      <c r="BG315" s="176"/>
      <c r="BH315" s="176"/>
      <c r="BI315" s="176"/>
      <c r="BJ315" s="176"/>
      <c r="BK315" s="211"/>
      <c r="BL315" s="211"/>
      <c r="BM315" s="184"/>
      <c r="BN315" s="184"/>
      <c r="BO315" s="184"/>
      <c r="BP315" s="184"/>
      <c r="BQ315" s="184"/>
      <c r="BR315" s="184"/>
      <c r="BS315" s="184"/>
      <c r="BT315" s="184"/>
      <c r="BU315" s="184"/>
    </row>
    <row r="316" spans="3:73" s="759" customFormat="1" ht="15">
      <c r="C316" s="760"/>
      <c r="G316" s="763"/>
      <c r="K316" s="762"/>
      <c r="O316" s="763"/>
      <c r="X316" s="184"/>
      <c r="Y316" s="184"/>
      <c r="Z316" s="184"/>
      <c r="AA316" s="184"/>
      <c r="AB316" s="184"/>
      <c r="AC316" s="184"/>
      <c r="AD316" s="184"/>
      <c r="AE316" s="184"/>
      <c r="AF316" s="184"/>
      <c r="AG316" s="184"/>
      <c r="AH316" s="184"/>
      <c r="AI316" s="185"/>
      <c r="AJ316" s="185"/>
      <c r="AK316" s="185"/>
      <c r="AL316" s="185"/>
      <c r="AM316" s="185"/>
      <c r="AN316" s="185"/>
      <c r="AO316" s="209"/>
      <c r="AP316" s="185"/>
      <c r="AQ316" s="185"/>
      <c r="AR316" s="185"/>
      <c r="AS316" s="210"/>
      <c r="AT316" s="176"/>
      <c r="AU316" s="176"/>
      <c r="AV316" s="176"/>
      <c r="AW316" s="176"/>
      <c r="AX316" s="176"/>
      <c r="AY316" s="176"/>
      <c r="AZ316" s="176"/>
      <c r="BA316" s="176"/>
      <c r="BB316" s="176"/>
      <c r="BC316" s="176"/>
      <c r="BD316" s="176"/>
      <c r="BE316" s="176"/>
      <c r="BF316" s="176"/>
      <c r="BG316" s="176"/>
      <c r="BH316" s="176"/>
      <c r="BI316" s="176"/>
      <c r="BJ316" s="176"/>
      <c r="BK316" s="211"/>
      <c r="BL316" s="211"/>
      <c r="BM316" s="184"/>
      <c r="BN316" s="184"/>
      <c r="BO316" s="184"/>
      <c r="BP316" s="184"/>
      <c r="BQ316" s="184"/>
      <c r="BR316" s="184"/>
      <c r="BS316" s="184"/>
      <c r="BT316" s="184"/>
      <c r="BU316" s="184"/>
    </row>
    <row r="317" spans="3:73" s="759" customFormat="1" ht="15">
      <c r="C317" s="760"/>
      <c r="G317" s="763"/>
      <c r="K317" s="762"/>
      <c r="O317" s="763"/>
      <c r="X317" s="184"/>
      <c r="Y317" s="184"/>
      <c r="Z317" s="184"/>
      <c r="AA317" s="184"/>
      <c r="AB317" s="184"/>
      <c r="AC317" s="184"/>
      <c r="AD317" s="184"/>
      <c r="AE317" s="184"/>
      <c r="AF317" s="184"/>
      <c r="AG317" s="184"/>
      <c r="AH317" s="184"/>
      <c r="AI317" s="185"/>
      <c r="AJ317" s="185"/>
      <c r="AK317" s="185"/>
      <c r="AL317" s="185"/>
      <c r="AM317" s="185"/>
      <c r="AN317" s="185"/>
      <c r="AO317" s="209"/>
      <c r="AP317" s="185"/>
      <c r="AQ317" s="185"/>
      <c r="AR317" s="185"/>
      <c r="AS317" s="210"/>
      <c r="AT317" s="176"/>
      <c r="AU317" s="176"/>
      <c r="AV317" s="176"/>
      <c r="AW317" s="176"/>
      <c r="AX317" s="176"/>
      <c r="AY317" s="176"/>
      <c r="AZ317" s="176"/>
      <c r="BA317" s="176"/>
      <c r="BB317" s="176"/>
      <c r="BC317" s="176"/>
      <c r="BD317" s="176"/>
      <c r="BE317" s="176"/>
      <c r="BF317" s="176"/>
      <c r="BG317" s="176"/>
      <c r="BH317" s="176"/>
      <c r="BI317" s="176"/>
      <c r="BJ317" s="176"/>
      <c r="BK317" s="211"/>
      <c r="BL317" s="211"/>
      <c r="BM317" s="184"/>
      <c r="BN317" s="184"/>
      <c r="BO317" s="184"/>
      <c r="BP317" s="184"/>
      <c r="BQ317" s="184"/>
      <c r="BR317" s="184"/>
      <c r="BS317" s="184"/>
      <c r="BT317" s="184"/>
      <c r="BU317" s="184"/>
    </row>
    <row r="318" spans="3:73" s="759" customFormat="1" ht="15">
      <c r="C318" s="760"/>
      <c r="G318" s="763"/>
      <c r="K318" s="762"/>
      <c r="O318" s="763"/>
      <c r="X318" s="184"/>
      <c r="Y318" s="184"/>
      <c r="Z318" s="184"/>
      <c r="AA318" s="184"/>
      <c r="AB318" s="184"/>
      <c r="AC318" s="184"/>
      <c r="AD318" s="184"/>
      <c r="AE318" s="184"/>
      <c r="AF318" s="184"/>
      <c r="AG318" s="184"/>
      <c r="AH318" s="184"/>
      <c r="AI318" s="185"/>
      <c r="AJ318" s="185"/>
      <c r="AK318" s="185"/>
      <c r="AL318" s="185"/>
      <c r="AM318" s="185"/>
      <c r="AN318" s="185"/>
      <c r="AO318" s="209"/>
      <c r="AP318" s="185"/>
      <c r="AQ318" s="185"/>
      <c r="AR318" s="185"/>
      <c r="AS318" s="210"/>
      <c r="AT318" s="176"/>
      <c r="AU318" s="176"/>
      <c r="AV318" s="176"/>
      <c r="AW318" s="176"/>
      <c r="AX318" s="176"/>
      <c r="AY318" s="176"/>
      <c r="AZ318" s="176"/>
      <c r="BA318" s="176"/>
      <c r="BB318" s="176"/>
      <c r="BC318" s="176"/>
      <c r="BD318" s="176"/>
      <c r="BE318" s="176"/>
      <c r="BF318" s="176"/>
      <c r="BG318" s="176"/>
      <c r="BH318" s="176"/>
      <c r="BI318" s="176"/>
      <c r="BJ318" s="176"/>
      <c r="BK318" s="211"/>
      <c r="BL318" s="211"/>
      <c r="BM318" s="184"/>
      <c r="BN318" s="184"/>
      <c r="BO318" s="184"/>
      <c r="BP318" s="184"/>
      <c r="BQ318" s="184"/>
      <c r="BR318" s="184"/>
      <c r="BS318" s="184"/>
      <c r="BT318" s="184"/>
      <c r="BU318" s="184"/>
    </row>
    <row r="319" spans="3:73" s="759" customFormat="1" ht="15">
      <c r="C319" s="760"/>
      <c r="G319" s="763"/>
      <c r="K319" s="762"/>
      <c r="O319" s="763"/>
      <c r="X319" s="184"/>
      <c r="Y319" s="184"/>
      <c r="Z319" s="184"/>
      <c r="AA319" s="184"/>
      <c r="AB319" s="184"/>
      <c r="AC319" s="184"/>
      <c r="AD319" s="184"/>
      <c r="AE319" s="184"/>
      <c r="AF319" s="184"/>
      <c r="AG319" s="184"/>
      <c r="AH319" s="184"/>
      <c r="AI319" s="185"/>
      <c r="AJ319" s="185"/>
      <c r="AK319" s="185"/>
      <c r="AL319" s="185"/>
      <c r="AM319" s="185"/>
      <c r="AN319" s="185"/>
      <c r="AO319" s="209"/>
      <c r="AP319" s="185"/>
      <c r="AQ319" s="185"/>
      <c r="AR319" s="185"/>
      <c r="AS319" s="210"/>
      <c r="AT319" s="176"/>
      <c r="AU319" s="176"/>
      <c r="AV319" s="176"/>
      <c r="AW319" s="176"/>
      <c r="AX319" s="176"/>
      <c r="AY319" s="176"/>
      <c r="AZ319" s="176"/>
      <c r="BA319" s="176"/>
      <c r="BB319" s="176"/>
      <c r="BC319" s="176"/>
      <c r="BD319" s="176"/>
      <c r="BE319" s="176"/>
      <c r="BF319" s="176"/>
      <c r="BG319" s="176"/>
      <c r="BH319" s="176"/>
      <c r="BI319" s="176"/>
      <c r="BJ319" s="176"/>
      <c r="BK319" s="211"/>
      <c r="BL319" s="211"/>
      <c r="BM319" s="184"/>
      <c r="BN319" s="184"/>
      <c r="BO319" s="184"/>
      <c r="BP319" s="184"/>
      <c r="BQ319" s="184"/>
      <c r="BR319" s="184"/>
      <c r="BS319" s="184"/>
      <c r="BT319" s="184"/>
      <c r="BU319" s="184"/>
    </row>
    <row r="320" spans="3:73" s="759" customFormat="1" ht="15">
      <c r="C320" s="760"/>
      <c r="G320" s="763"/>
      <c r="K320" s="762"/>
      <c r="O320" s="763"/>
      <c r="X320" s="184"/>
      <c r="Y320" s="184"/>
      <c r="Z320" s="184"/>
      <c r="AA320" s="184"/>
      <c r="AB320" s="184"/>
      <c r="AC320" s="184"/>
      <c r="AD320" s="184"/>
      <c r="AE320" s="184"/>
      <c r="AF320" s="184"/>
      <c r="AG320" s="184"/>
      <c r="AH320" s="184"/>
      <c r="AI320" s="185"/>
      <c r="AJ320" s="185"/>
      <c r="AK320" s="185"/>
      <c r="AL320" s="185"/>
      <c r="AM320" s="185"/>
      <c r="AN320" s="185"/>
      <c r="AO320" s="209"/>
      <c r="AP320" s="185"/>
      <c r="AQ320" s="185"/>
      <c r="AR320" s="185"/>
      <c r="AS320" s="210"/>
      <c r="AT320" s="176"/>
      <c r="AU320" s="176"/>
      <c r="AV320" s="176"/>
      <c r="AW320" s="176"/>
      <c r="AX320" s="176"/>
      <c r="AY320" s="176"/>
      <c r="AZ320" s="176"/>
      <c r="BA320" s="176"/>
      <c r="BB320" s="176"/>
      <c r="BC320" s="176"/>
      <c r="BD320" s="176"/>
      <c r="BE320" s="176"/>
      <c r="BF320" s="176"/>
      <c r="BG320" s="176"/>
      <c r="BH320" s="176"/>
      <c r="BI320" s="176"/>
      <c r="BJ320" s="176"/>
      <c r="BK320" s="211"/>
      <c r="BL320" s="211"/>
      <c r="BM320" s="184"/>
      <c r="BN320" s="184"/>
      <c r="BO320" s="184"/>
      <c r="BP320" s="184"/>
      <c r="BQ320" s="184"/>
      <c r="BR320" s="184"/>
      <c r="BS320" s="184"/>
      <c r="BT320" s="184"/>
      <c r="BU320" s="184"/>
    </row>
    <row r="321" spans="3:73" s="759" customFormat="1" ht="15">
      <c r="C321" s="760"/>
      <c r="G321" s="763"/>
      <c r="K321" s="762"/>
      <c r="O321" s="763"/>
      <c r="X321" s="184"/>
      <c r="Y321" s="184"/>
      <c r="Z321" s="184"/>
      <c r="AA321" s="184"/>
      <c r="AB321" s="184"/>
      <c r="AC321" s="184"/>
      <c r="AD321" s="184"/>
      <c r="AE321" s="184"/>
      <c r="AF321" s="184"/>
      <c r="AG321" s="184"/>
      <c r="AH321" s="184"/>
      <c r="AI321" s="185"/>
      <c r="AJ321" s="185"/>
      <c r="AK321" s="185"/>
      <c r="AL321" s="185"/>
      <c r="AM321" s="185"/>
      <c r="AN321" s="185"/>
      <c r="AO321" s="209"/>
      <c r="AP321" s="185"/>
      <c r="AQ321" s="185"/>
      <c r="AR321" s="185"/>
      <c r="AS321" s="210"/>
      <c r="AT321" s="176"/>
      <c r="AU321" s="176"/>
      <c r="AV321" s="176"/>
      <c r="AW321" s="176"/>
      <c r="AX321" s="176"/>
      <c r="AY321" s="176"/>
      <c r="AZ321" s="176"/>
      <c r="BA321" s="176"/>
      <c r="BB321" s="176"/>
      <c r="BC321" s="176"/>
      <c r="BD321" s="176"/>
      <c r="BE321" s="176"/>
      <c r="BF321" s="176"/>
      <c r="BG321" s="176"/>
      <c r="BH321" s="176"/>
      <c r="BI321" s="176"/>
      <c r="BJ321" s="176"/>
      <c r="BK321" s="211"/>
      <c r="BL321" s="211"/>
      <c r="BM321" s="184"/>
      <c r="BN321" s="184"/>
      <c r="BO321" s="184"/>
      <c r="BP321" s="184"/>
      <c r="BQ321" s="184"/>
      <c r="BR321" s="184"/>
      <c r="BS321" s="184"/>
      <c r="BT321" s="184"/>
      <c r="BU321" s="184"/>
    </row>
    <row r="322" spans="3:73" s="759" customFormat="1" ht="15">
      <c r="C322" s="760"/>
      <c r="G322" s="763"/>
      <c r="K322" s="762"/>
      <c r="O322" s="763"/>
      <c r="X322" s="184"/>
      <c r="Y322" s="184"/>
      <c r="Z322" s="184"/>
      <c r="AA322" s="184"/>
      <c r="AB322" s="184"/>
      <c r="AC322" s="184"/>
      <c r="AD322" s="184"/>
      <c r="AE322" s="184"/>
      <c r="AF322" s="184"/>
      <c r="AG322" s="184"/>
      <c r="AH322" s="184"/>
      <c r="AI322" s="185"/>
      <c r="AJ322" s="185"/>
      <c r="AK322" s="185"/>
      <c r="AL322" s="185"/>
      <c r="AM322" s="185"/>
      <c r="AN322" s="185"/>
      <c r="AO322" s="209"/>
      <c r="AP322" s="185"/>
      <c r="AQ322" s="185"/>
      <c r="AR322" s="185"/>
      <c r="AS322" s="210"/>
      <c r="AT322" s="176"/>
      <c r="AU322" s="176"/>
      <c r="AV322" s="176"/>
      <c r="AW322" s="176"/>
      <c r="AX322" s="176"/>
      <c r="AY322" s="176"/>
      <c r="AZ322" s="176"/>
      <c r="BA322" s="176"/>
      <c r="BB322" s="176"/>
      <c r="BC322" s="176"/>
      <c r="BD322" s="176"/>
      <c r="BE322" s="176"/>
      <c r="BF322" s="176"/>
      <c r="BG322" s="176"/>
      <c r="BH322" s="176"/>
      <c r="BI322" s="176"/>
      <c r="BJ322" s="176"/>
      <c r="BK322" s="211"/>
      <c r="BL322" s="211"/>
      <c r="BM322" s="184"/>
      <c r="BN322" s="184"/>
      <c r="BO322" s="184"/>
      <c r="BP322" s="184"/>
      <c r="BQ322" s="184"/>
      <c r="BR322" s="184"/>
      <c r="BS322" s="184"/>
      <c r="BT322" s="184"/>
      <c r="BU322" s="184"/>
    </row>
    <row r="323" spans="3:73" s="759" customFormat="1" ht="15">
      <c r="C323" s="760"/>
      <c r="G323" s="763"/>
      <c r="K323" s="762"/>
      <c r="O323" s="763"/>
      <c r="X323" s="184"/>
      <c r="Y323" s="184"/>
      <c r="Z323" s="184"/>
      <c r="AA323" s="184"/>
      <c r="AB323" s="184"/>
      <c r="AC323" s="184"/>
      <c r="AD323" s="184"/>
      <c r="AE323" s="184"/>
      <c r="AF323" s="184"/>
      <c r="AG323" s="184"/>
      <c r="AH323" s="184"/>
      <c r="AI323" s="185"/>
      <c r="AJ323" s="185"/>
      <c r="AK323" s="185"/>
      <c r="AL323" s="185"/>
      <c r="AM323" s="185"/>
      <c r="AN323" s="185"/>
      <c r="AO323" s="209"/>
      <c r="AP323" s="185"/>
      <c r="AQ323" s="185"/>
      <c r="AR323" s="185"/>
      <c r="AS323" s="210"/>
      <c r="AT323" s="176"/>
      <c r="AU323" s="176"/>
      <c r="AV323" s="176"/>
      <c r="AW323" s="176"/>
      <c r="AX323" s="176"/>
      <c r="AY323" s="176"/>
      <c r="AZ323" s="176"/>
      <c r="BA323" s="176"/>
      <c r="BB323" s="176"/>
      <c r="BC323" s="176"/>
      <c r="BD323" s="176"/>
      <c r="BE323" s="176"/>
      <c r="BF323" s="176"/>
      <c r="BG323" s="176"/>
      <c r="BH323" s="176"/>
      <c r="BI323" s="176"/>
      <c r="BJ323" s="176"/>
      <c r="BK323" s="211"/>
      <c r="BL323" s="211"/>
      <c r="BM323" s="184"/>
      <c r="BN323" s="184"/>
      <c r="BO323" s="184"/>
      <c r="BP323" s="184"/>
      <c r="BQ323" s="184"/>
      <c r="BR323" s="184"/>
      <c r="BS323" s="184"/>
      <c r="BT323" s="184"/>
      <c r="BU323" s="184"/>
    </row>
    <row r="324" spans="3:73" s="759" customFormat="1" ht="15">
      <c r="C324" s="760"/>
      <c r="G324" s="763"/>
      <c r="K324" s="762"/>
      <c r="O324" s="763"/>
      <c r="X324" s="184"/>
      <c r="Y324" s="184"/>
      <c r="Z324" s="184"/>
      <c r="AA324" s="184"/>
      <c r="AB324" s="184"/>
      <c r="AC324" s="184"/>
      <c r="AD324" s="184"/>
      <c r="AE324" s="184"/>
      <c r="AF324" s="184"/>
      <c r="AG324" s="184"/>
      <c r="AH324" s="184"/>
      <c r="AI324" s="185"/>
      <c r="AJ324" s="185"/>
      <c r="AK324" s="185"/>
      <c r="AL324" s="185"/>
      <c r="AM324" s="185"/>
      <c r="AN324" s="185"/>
      <c r="AO324" s="209"/>
      <c r="AP324" s="185"/>
      <c r="AQ324" s="185"/>
      <c r="AR324" s="185"/>
      <c r="AS324" s="210"/>
      <c r="AT324" s="176"/>
      <c r="AU324" s="176"/>
      <c r="AV324" s="176"/>
      <c r="AW324" s="176"/>
      <c r="AX324" s="176"/>
      <c r="AY324" s="176"/>
      <c r="AZ324" s="176"/>
      <c r="BA324" s="176"/>
      <c r="BB324" s="176"/>
      <c r="BC324" s="176"/>
      <c r="BD324" s="176"/>
      <c r="BE324" s="176"/>
      <c r="BF324" s="176"/>
      <c r="BG324" s="176"/>
      <c r="BH324" s="176"/>
      <c r="BI324" s="176"/>
      <c r="BJ324" s="176"/>
      <c r="BK324" s="211"/>
      <c r="BL324" s="211"/>
      <c r="BM324" s="184"/>
      <c r="BN324" s="184"/>
      <c r="BO324" s="184"/>
      <c r="BP324" s="184"/>
      <c r="BQ324" s="184"/>
      <c r="BR324" s="184"/>
      <c r="BS324" s="184"/>
      <c r="BT324" s="184"/>
      <c r="BU324" s="184"/>
    </row>
    <row r="325" spans="3:73" s="759" customFormat="1" ht="15">
      <c r="C325" s="760"/>
      <c r="G325" s="763"/>
      <c r="K325" s="762"/>
      <c r="O325" s="763"/>
      <c r="X325" s="184"/>
      <c r="Y325" s="184"/>
      <c r="Z325" s="184"/>
      <c r="AA325" s="184"/>
      <c r="AB325" s="184"/>
      <c r="AC325" s="184"/>
      <c r="AD325" s="184"/>
      <c r="AE325" s="184"/>
      <c r="AF325" s="184"/>
      <c r="AG325" s="184"/>
      <c r="AH325" s="184"/>
      <c r="AI325" s="185"/>
      <c r="AJ325" s="185"/>
      <c r="AK325" s="185"/>
      <c r="AL325" s="185"/>
      <c r="AM325" s="185"/>
      <c r="AN325" s="185"/>
      <c r="AO325" s="209"/>
      <c r="AP325" s="185"/>
      <c r="AQ325" s="185"/>
      <c r="AR325" s="185"/>
      <c r="AS325" s="210"/>
      <c r="AT325" s="176"/>
      <c r="AU325" s="176"/>
      <c r="AV325" s="176"/>
      <c r="AW325" s="176"/>
      <c r="AX325" s="176"/>
      <c r="AY325" s="176"/>
      <c r="AZ325" s="176"/>
      <c r="BA325" s="176"/>
      <c r="BB325" s="176"/>
      <c r="BC325" s="176"/>
      <c r="BD325" s="176"/>
      <c r="BE325" s="176"/>
      <c r="BF325" s="176"/>
      <c r="BG325" s="176"/>
      <c r="BH325" s="176"/>
      <c r="BI325" s="176"/>
      <c r="BJ325" s="176"/>
      <c r="BK325" s="211"/>
      <c r="BL325" s="211"/>
      <c r="BM325" s="184"/>
      <c r="BN325" s="184"/>
      <c r="BO325" s="184"/>
      <c r="BP325" s="184"/>
      <c r="BQ325" s="184"/>
      <c r="BR325" s="184"/>
      <c r="BS325" s="184"/>
      <c r="BT325" s="184"/>
      <c r="BU325" s="184"/>
    </row>
    <row r="326" spans="3:73" s="759" customFormat="1" ht="15">
      <c r="C326" s="760"/>
      <c r="G326" s="763"/>
      <c r="K326" s="762"/>
      <c r="O326" s="763"/>
      <c r="X326" s="184"/>
      <c r="Y326" s="184"/>
      <c r="Z326" s="184"/>
      <c r="AA326" s="184"/>
      <c r="AB326" s="184"/>
      <c r="AC326" s="184"/>
      <c r="AD326" s="184"/>
      <c r="AE326" s="184"/>
      <c r="AF326" s="184"/>
      <c r="AG326" s="184"/>
      <c r="AH326" s="184"/>
      <c r="AI326" s="185"/>
      <c r="AJ326" s="185"/>
      <c r="AK326" s="185"/>
      <c r="AL326" s="185"/>
      <c r="AM326" s="185"/>
      <c r="AN326" s="185"/>
      <c r="AO326" s="209"/>
      <c r="AP326" s="185"/>
      <c r="AQ326" s="185"/>
      <c r="AR326" s="185"/>
      <c r="AS326" s="210"/>
      <c r="AT326" s="176"/>
      <c r="AU326" s="176"/>
      <c r="AV326" s="176"/>
      <c r="AW326" s="176"/>
      <c r="AX326" s="176"/>
      <c r="AY326" s="176"/>
      <c r="AZ326" s="176"/>
      <c r="BA326" s="176"/>
      <c r="BB326" s="176"/>
      <c r="BC326" s="176"/>
      <c r="BD326" s="176"/>
      <c r="BE326" s="176"/>
      <c r="BF326" s="176"/>
      <c r="BG326" s="176"/>
      <c r="BH326" s="176"/>
      <c r="BI326" s="176"/>
      <c r="BJ326" s="176"/>
      <c r="BK326" s="211"/>
      <c r="BL326" s="211"/>
      <c r="BM326" s="184"/>
      <c r="BN326" s="184"/>
      <c r="BO326" s="184"/>
      <c r="BP326" s="184"/>
      <c r="BQ326" s="184"/>
      <c r="BR326" s="184"/>
      <c r="BS326" s="184"/>
      <c r="BT326" s="184"/>
      <c r="BU326" s="184"/>
    </row>
    <row r="327" spans="3:73" s="759" customFormat="1" ht="15">
      <c r="C327" s="760"/>
      <c r="G327" s="763"/>
      <c r="K327" s="762"/>
      <c r="O327" s="763"/>
      <c r="X327" s="184"/>
      <c r="Y327" s="184"/>
      <c r="Z327" s="184"/>
      <c r="AA327" s="184"/>
      <c r="AB327" s="184"/>
      <c r="AC327" s="184"/>
      <c r="AD327" s="184"/>
      <c r="AE327" s="184"/>
      <c r="AF327" s="184"/>
      <c r="AG327" s="184"/>
      <c r="AH327" s="184"/>
      <c r="AI327" s="185"/>
      <c r="AJ327" s="185"/>
      <c r="AK327" s="185"/>
      <c r="AL327" s="185"/>
      <c r="AM327" s="185"/>
      <c r="AN327" s="185"/>
      <c r="AO327" s="209"/>
      <c r="AP327" s="185"/>
      <c r="AQ327" s="185"/>
      <c r="AR327" s="185"/>
      <c r="AS327" s="210"/>
      <c r="AT327" s="176"/>
      <c r="AU327" s="176"/>
      <c r="AV327" s="176"/>
      <c r="AW327" s="176"/>
      <c r="AX327" s="176"/>
      <c r="AY327" s="176"/>
      <c r="AZ327" s="176"/>
      <c r="BA327" s="176"/>
      <c r="BB327" s="176"/>
      <c r="BC327" s="176"/>
      <c r="BD327" s="176"/>
      <c r="BE327" s="176"/>
      <c r="BF327" s="176"/>
      <c r="BG327" s="176"/>
      <c r="BH327" s="176"/>
      <c r="BI327" s="176"/>
      <c r="BJ327" s="176"/>
      <c r="BK327" s="211"/>
      <c r="BL327" s="211"/>
      <c r="BM327" s="184"/>
      <c r="BN327" s="184"/>
      <c r="BO327" s="184"/>
      <c r="BP327" s="184"/>
      <c r="BQ327" s="184"/>
      <c r="BR327" s="184"/>
      <c r="BS327" s="184"/>
      <c r="BT327" s="184"/>
      <c r="BU327" s="184"/>
    </row>
    <row r="328" spans="3:73" s="759" customFormat="1" ht="15">
      <c r="C328" s="760"/>
      <c r="G328" s="763"/>
      <c r="K328" s="762"/>
      <c r="O328" s="763"/>
      <c r="X328" s="184"/>
      <c r="Y328" s="184"/>
      <c r="Z328" s="184"/>
      <c r="AA328" s="184"/>
      <c r="AB328" s="184"/>
      <c r="AC328" s="184"/>
      <c r="AD328" s="184"/>
      <c r="AE328" s="184"/>
      <c r="AF328" s="184"/>
      <c r="AG328" s="184"/>
      <c r="AH328" s="184"/>
      <c r="AI328" s="185"/>
      <c r="AJ328" s="185"/>
      <c r="AK328" s="185"/>
      <c r="AL328" s="185"/>
      <c r="AM328" s="185"/>
      <c r="AN328" s="185"/>
      <c r="AO328" s="209"/>
      <c r="AP328" s="185"/>
      <c r="AQ328" s="185"/>
      <c r="AR328" s="185"/>
      <c r="AS328" s="210"/>
      <c r="AT328" s="176"/>
      <c r="AU328" s="176"/>
      <c r="AV328" s="176"/>
      <c r="AW328" s="176"/>
      <c r="AX328" s="176"/>
      <c r="AY328" s="176"/>
      <c r="AZ328" s="176"/>
      <c r="BA328" s="176"/>
      <c r="BB328" s="176"/>
      <c r="BC328" s="176"/>
      <c r="BD328" s="176"/>
      <c r="BE328" s="176"/>
      <c r="BF328" s="176"/>
      <c r="BG328" s="176"/>
      <c r="BH328" s="176"/>
      <c r="BI328" s="176"/>
      <c r="BJ328" s="176"/>
      <c r="BK328" s="211"/>
      <c r="BL328" s="211"/>
      <c r="BM328" s="184"/>
      <c r="BN328" s="184"/>
      <c r="BO328" s="184"/>
      <c r="BP328" s="184"/>
      <c r="BQ328" s="184"/>
      <c r="BR328" s="184"/>
      <c r="BS328" s="184"/>
      <c r="BT328" s="184"/>
      <c r="BU328" s="184"/>
    </row>
    <row r="329" spans="3:73" s="759" customFormat="1" ht="15">
      <c r="C329" s="760"/>
      <c r="G329" s="763"/>
      <c r="K329" s="762"/>
      <c r="O329" s="763"/>
      <c r="X329" s="184"/>
      <c r="Y329" s="184"/>
      <c r="Z329" s="184"/>
      <c r="AA329" s="184"/>
      <c r="AB329" s="184"/>
      <c r="AC329" s="184"/>
      <c r="AD329" s="184"/>
      <c r="AE329" s="184"/>
      <c r="AF329" s="184"/>
      <c r="AG329" s="184"/>
      <c r="AH329" s="184"/>
      <c r="AI329" s="185"/>
      <c r="AJ329" s="185"/>
      <c r="AK329" s="185"/>
      <c r="AL329" s="185"/>
      <c r="AM329" s="185"/>
      <c r="AN329" s="185"/>
      <c r="AO329" s="209"/>
      <c r="AP329" s="185"/>
      <c r="AQ329" s="185"/>
      <c r="AR329" s="185"/>
      <c r="AS329" s="210"/>
      <c r="AT329" s="176"/>
      <c r="AU329" s="176"/>
      <c r="AV329" s="176"/>
      <c r="AW329" s="176"/>
      <c r="AX329" s="176"/>
      <c r="AY329" s="176"/>
      <c r="AZ329" s="176"/>
      <c r="BA329" s="176"/>
      <c r="BB329" s="176"/>
      <c r="BC329" s="176"/>
      <c r="BD329" s="176"/>
      <c r="BE329" s="176"/>
      <c r="BF329" s="176"/>
      <c r="BG329" s="176"/>
      <c r="BH329" s="176"/>
      <c r="BI329" s="176"/>
      <c r="BJ329" s="176"/>
      <c r="BK329" s="211"/>
      <c r="BL329" s="211"/>
      <c r="BM329" s="184"/>
      <c r="BN329" s="184"/>
      <c r="BO329" s="184"/>
      <c r="BP329" s="184"/>
      <c r="BQ329" s="184"/>
      <c r="BR329" s="184"/>
      <c r="BS329" s="184"/>
      <c r="BT329" s="184"/>
      <c r="BU329" s="184"/>
    </row>
    <row r="330" spans="3:73" s="759" customFormat="1" ht="15">
      <c r="C330" s="760"/>
      <c r="G330" s="763"/>
      <c r="K330" s="762"/>
      <c r="O330" s="763"/>
      <c r="X330" s="184"/>
      <c r="Y330" s="184"/>
      <c r="Z330" s="184"/>
      <c r="AA330" s="184"/>
      <c r="AB330" s="184"/>
      <c r="AC330" s="184"/>
      <c r="AD330" s="184"/>
      <c r="AE330" s="184"/>
      <c r="AF330" s="184"/>
      <c r="AG330" s="184"/>
      <c r="AH330" s="184"/>
      <c r="AI330" s="185"/>
      <c r="AJ330" s="185"/>
      <c r="AK330" s="185"/>
      <c r="AL330" s="185"/>
      <c r="AM330" s="185"/>
      <c r="AN330" s="185"/>
      <c r="AO330" s="209"/>
      <c r="AP330" s="185"/>
      <c r="AQ330" s="185"/>
      <c r="AR330" s="185"/>
      <c r="AS330" s="210"/>
      <c r="AT330" s="176"/>
      <c r="AU330" s="176"/>
      <c r="AV330" s="176"/>
      <c r="AW330" s="176"/>
      <c r="AX330" s="176"/>
      <c r="AY330" s="176"/>
      <c r="AZ330" s="176"/>
      <c r="BA330" s="176"/>
      <c r="BB330" s="176"/>
      <c r="BC330" s="176"/>
      <c r="BD330" s="176"/>
      <c r="BE330" s="176"/>
      <c r="BF330" s="176"/>
      <c r="BG330" s="176"/>
      <c r="BH330" s="176"/>
      <c r="BI330" s="176"/>
      <c r="BJ330" s="176"/>
      <c r="BK330" s="211"/>
      <c r="BL330" s="211"/>
      <c r="BM330" s="184"/>
      <c r="BN330" s="184"/>
      <c r="BO330" s="184"/>
      <c r="BP330" s="184"/>
      <c r="BQ330" s="184"/>
      <c r="BR330" s="184"/>
      <c r="BS330" s="184"/>
      <c r="BT330" s="184"/>
      <c r="BU330" s="184"/>
    </row>
    <row r="331" spans="3:73" s="759" customFormat="1" ht="15">
      <c r="C331" s="760"/>
      <c r="G331" s="763"/>
      <c r="K331" s="762"/>
      <c r="O331" s="763"/>
      <c r="X331" s="184"/>
      <c r="Y331" s="184"/>
      <c r="Z331" s="184"/>
      <c r="AA331" s="184"/>
      <c r="AB331" s="184"/>
      <c r="AC331" s="184"/>
      <c r="AD331" s="184"/>
      <c r="AE331" s="184"/>
      <c r="AF331" s="184"/>
      <c r="AG331" s="184"/>
      <c r="AH331" s="184"/>
      <c r="AI331" s="185"/>
      <c r="AJ331" s="185"/>
      <c r="AK331" s="185"/>
      <c r="AL331" s="185"/>
      <c r="AM331" s="185"/>
      <c r="AN331" s="185"/>
      <c r="AO331" s="209"/>
      <c r="AP331" s="185"/>
      <c r="AQ331" s="185"/>
      <c r="AR331" s="185"/>
      <c r="AS331" s="210"/>
      <c r="AT331" s="176"/>
      <c r="AU331" s="176"/>
      <c r="AV331" s="176"/>
      <c r="AW331" s="176"/>
      <c r="AX331" s="176"/>
      <c r="AY331" s="176"/>
      <c r="AZ331" s="176"/>
      <c r="BA331" s="176"/>
      <c r="BB331" s="176"/>
      <c r="BC331" s="176"/>
      <c r="BD331" s="176"/>
      <c r="BE331" s="176"/>
      <c r="BF331" s="176"/>
      <c r="BG331" s="176"/>
      <c r="BH331" s="176"/>
      <c r="BI331" s="176"/>
      <c r="BJ331" s="176"/>
      <c r="BK331" s="211"/>
      <c r="BL331" s="211"/>
      <c r="BM331" s="184"/>
      <c r="BN331" s="184"/>
      <c r="BO331" s="184"/>
      <c r="BP331" s="184"/>
      <c r="BQ331" s="184"/>
      <c r="BR331" s="184"/>
      <c r="BS331" s="184"/>
      <c r="BT331" s="184"/>
      <c r="BU331" s="184"/>
    </row>
    <row r="332" spans="3:73" s="759" customFormat="1" ht="15">
      <c r="C332" s="760"/>
      <c r="G332" s="763"/>
      <c r="K332" s="762"/>
      <c r="O332" s="763"/>
      <c r="X332" s="184"/>
      <c r="Y332" s="184"/>
      <c r="Z332" s="184"/>
      <c r="AA332" s="184"/>
      <c r="AB332" s="184"/>
      <c r="AC332" s="184"/>
      <c r="AD332" s="184"/>
      <c r="AE332" s="184"/>
      <c r="AF332" s="184"/>
      <c r="AG332" s="184"/>
      <c r="AH332" s="184"/>
      <c r="AI332" s="185"/>
      <c r="AJ332" s="185"/>
      <c r="AK332" s="185"/>
      <c r="AL332" s="185"/>
      <c r="AM332" s="185"/>
      <c r="AN332" s="185"/>
      <c r="AO332" s="209"/>
      <c r="AP332" s="185"/>
      <c r="AQ332" s="185"/>
      <c r="AR332" s="185"/>
      <c r="AS332" s="210"/>
      <c r="AT332" s="176"/>
      <c r="AU332" s="176"/>
      <c r="AV332" s="176"/>
      <c r="AW332" s="176"/>
      <c r="AX332" s="176"/>
      <c r="AY332" s="176"/>
      <c r="AZ332" s="176"/>
      <c r="BA332" s="176"/>
      <c r="BB332" s="176"/>
      <c r="BC332" s="176"/>
      <c r="BD332" s="176"/>
      <c r="BE332" s="176"/>
      <c r="BF332" s="176"/>
      <c r="BG332" s="176"/>
      <c r="BH332" s="176"/>
      <c r="BI332" s="176"/>
      <c r="BJ332" s="176"/>
      <c r="BK332" s="211"/>
      <c r="BL332" s="211"/>
      <c r="BM332" s="184"/>
      <c r="BN332" s="184"/>
      <c r="BO332" s="184"/>
      <c r="BP332" s="184"/>
      <c r="BQ332" s="184"/>
      <c r="BR332" s="184"/>
      <c r="BS332" s="184"/>
      <c r="BT332" s="184"/>
      <c r="BU332" s="184"/>
    </row>
    <row r="333" spans="3:73" s="759" customFormat="1" ht="15">
      <c r="C333" s="760"/>
      <c r="G333" s="763"/>
      <c r="K333" s="762"/>
      <c r="O333" s="763"/>
      <c r="X333" s="184"/>
      <c r="Y333" s="184"/>
      <c r="Z333" s="184"/>
      <c r="AA333" s="184"/>
      <c r="AB333" s="184"/>
      <c r="AC333" s="184"/>
      <c r="AD333" s="184"/>
      <c r="AE333" s="184"/>
      <c r="AF333" s="184"/>
      <c r="AG333" s="184"/>
      <c r="AH333" s="184"/>
      <c r="AI333" s="185"/>
      <c r="AJ333" s="185"/>
      <c r="AK333" s="185"/>
      <c r="AL333" s="185"/>
      <c r="AM333" s="185"/>
      <c r="AN333" s="185"/>
      <c r="AO333" s="209"/>
      <c r="AP333" s="185"/>
      <c r="AQ333" s="185"/>
      <c r="AR333" s="185"/>
      <c r="AS333" s="210"/>
      <c r="AT333" s="176"/>
      <c r="AU333" s="176"/>
      <c r="AV333" s="176"/>
      <c r="AW333" s="176"/>
      <c r="AX333" s="176"/>
      <c r="AY333" s="176"/>
      <c r="AZ333" s="176"/>
      <c r="BA333" s="176"/>
      <c r="BB333" s="176"/>
      <c r="BC333" s="176"/>
      <c r="BD333" s="176"/>
      <c r="BE333" s="176"/>
      <c r="BF333" s="176"/>
      <c r="BG333" s="176"/>
      <c r="BH333" s="176"/>
      <c r="BI333" s="176"/>
      <c r="BJ333" s="176"/>
      <c r="BK333" s="211"/>
      <c r="BL333" s="211"/>
      <c r="BM333" s="184"/>
      <c r="BN333" s="184"/>
      <c r="BO333" s="184"/>
      <c r="BP333" s="184"/>
      <c r="BQ333" s="184"/>
      <c r="BR333" s="184"/>
      <c r="BS333" s="184"/>
      <c r="BT333" s="184"/>
      <c r="BU333" s="184"/>
    </row>
    <row r="334" spans="3:73" s="759" customFormat="1" ht="15">
      <c r="C334" s="760"/>
      <c r="G334" s="763"/>
      <c r="K334" s="762"/>
      <c r="O334" s="763"/>
      <c r="X334" s="184"/>
      <c r="Y334" s="184"/>
      <c r="Z334" s="184"/>
      <c r="AA334" s="184"/>
      <c r="AB334" s="184"/>
      <c r="AC334" s="184"/>
      <c r="AD334" s="184"/>
      <c r="AE334" s="184"/>
      <c r="AF334" s="184"/>
      <c r="AG334" s="184"/>
      <c r="AH334" s="184"/>
      <c r="AI334" s="185"/>
      <c r="AJ334" s="185"/>
      <c r="AK334" s="185"/>
      <c r="AL334" s="185"/>
      <c r="AM334" s="185"/>
      <c r="AN334" s="185"/>
      <c r="AO334" s="209"/>
      <c r="AP334" s="185"/>
      <c r="AQ334" s="185"/>
      <c r="AR334" s="185"/>
      <c r="AS334" s="210"/>
      <c r="AT334" s="176"/>
      <c r="AU334" s="176"/>
      <c r="AV334" s="176"/>
      <c r="AW334" s="176"/>
      <c r="AX334" s="176"/>
      <c r="AY334" s="176"/>
      <c r="AZ334" s="176"/>
      <c r="BA334" s="176"/>
      <c r="BB334" s="176"/>
      <c r="BC334" s="176"/>
      <c r="BD334" s="176"/>
      <c r="BE334" s="176"/>
      <c r="BF334" s="176"/>
      <c r="BG334" s="176"/>
      <c r="BH334" s="176"/>
      <c r="BI334" s="176"/>
      <c r="BJ334" s="176"/>
      <c r="BK334" s="211"/>
      <c r="BL334" s="211"/>
      <c r="BM334" s="184"/>
      <c r="BN334" s="184"/>
      <c r="BO334" s="184"/>
      <c r="BP334" s="184"/>
      <c r="BQ334" s="184"/>
      <c r="BR334" s="184"/>
      <c r="BS334" s="184"/>
      <c r="BT334" s="184"/>
      <c r="BU334" s="184"/>
    </row>
    <row r="335" spans="3:73" s="759" customFormat="1" ht="15">
      <c r="C335" s="760"/>
      <c r="G335" s="763"/>
      <c r="K335" s="762"/>
      <c r="O335" s="763"/>
      <c r="X335" s="184"/>
      <c r="Y335" s="184"/>
      <c r="Z335" s="184"/>
      <c r="AA335" s="184"/>
      <c r="AB335" s="184"/>
      <c r="AC335" s="184"/>
      <c r="AD335" s="184"/>
      <c r="AE335" s="184"/>
      <c r="AF335" s="184"/>
      <c r="AG335" s="184"/>
      <c r="AH335" s="184"/>
      <c r="AI335" s="185"/>
      <c r="AJ335" s="185"/>
      <c r="AK335" s="185"/>
      <c r="AL335" s="185"/>
      <c r="AM335" s="185"/>
      <c r="AN335" s="185"/>
      <c r="AO335" s="209"/>
      <c r="AP335" s="185"/>
      <c r="AQ335" s="185"/>
      <c r="AR335" s="185"/>
      <c r="AS335" s="210"/>
      <c r="AT335" s="176"/>
      <c r="AU335" s="176"/>
      <c r="AV335" s="176"/>
      <c r="AW335" s="176"/>
      <c r="AX335" s="176"/>
      <c r="AY335" s="176"/>
      <c r="AZ335" s="176"/>
      <c r="BA335" s="176"/>
      <c r="BB335" s="176"/>
      <c r="BC335" s="176"/>
      <c r="BD335" s="176"/>
      <c r="BE335" s="176"/>
      <c r="BF335" s="176"/>
      <c r="BG335" s="176"/>
      <c r="BH335" s="176"/>
      <c r="BI335" s="176"/>
      <c r="BJ335" s="176"/>
      <c r="BK335" s="211"/>
      <c r="BL335" s="211"/>
      <c r="BM335" s="184"/>
      <c r="BN335" s="184"/>
      <c r="BO335" s="184"/>
      <c r="BP335" s="184"/>
      <c r="BQ335" s="184"/>
      <c r="BR335" s="184"/>
      <c r="BS335" s="184"/>
      <c r="BT335" s="184"/>
      <c r="BU335" s="184"/>
    </row>
    <row r="336" spans="3:73" s="759" customFormat="1" ht="15">
      <c r="C336" s="760"/>
      <c r="G336" s="763"/>
      <c r="K336" s="762"/>
      <c r="O336" s="763"/>
      <c r="X336" s="184"/>
      <c r="Y336" s="184"/>
      <c r="Z336" s="184"/>
      <c r="AA336" s="184"/>
      <c r="AB336" s="184"/>
      <c r="AC336" s="184"/>
      <c r="AD336" s="184"/>
      <c r="AE336" s="184"/>
      <c r="AF336" s="184"/>
      <c r="AG336" s="184"/>
      <c r="AH336" s="184"/>
      <c r="AI336" s="185"/>
      <c r="AJ336" s="185"/>
      <c r="AK336" s="185"/>
      <c r="AL336" s="185"/>
      <c r="AM336" s="185"/>
      <c r="AN336" s="185"/>
      <c r="AO336" s="209"/>
      <c r="AP336" s="185"/>
      <c r="AQ336" s="185"/>
      <c r="AR336" s="185"/>
      <c r="AS336" s="210"/>
      <c r="AT336" s="176"/>
      <c r="AU336" s="176"/>
      <c r="AV336" s="176"/>
      <c r="AW336" s="176"/>
      <c r="AX336" s="176"/>
      <c r="AY336" s="176"/>
      <c r="AZ336" s="176"/>
      <c r="BA336" s="176"/>
      <c r="BB336" s="176"/>
      <c r="BC336" s="176"/>
      <c r="BD336" s="176"/>
      <c r="BE336" s="176"/>
      <c r="BF336" s="176"/>
      <c r="BG336" s="176"/>
      <c r="BH336" s="176"/>
      <c r="BI336" s="176"/>
      <c r="BJ336" s="176"/>
      <c r="BK336" s="211"/>
      <c r="BL336" s="211"/>
      <c r="BM336" s="184"/>
      <c r="BN336" s="184"/>
      <c r="BO336" s="184"/>
      <c r="BP336" s="184"/>
      <c r="BQ336" s="184"/>
      <c r="BR336" s="184"/>
      <c r="BS336" s="184"/>
      <c r="BT336" s="184"/>
      <c r="BU336" s="184"/>
    </row>
    <row r="337" spans="3:73" s="759" customFormat="1" ht="15">
      <c r="C337" s="760"/>
      <c r="G337" s="763"/>
      <c r="K337" s="762"/>
      <c r="O337" s="763"/>
      <c r="X337" s="184"/>
      <c r="Y337" s="184"/>
      <c r="Z337" s="184"/>
      <c r="AA337" s="184"/>
      <c r="AB337" s="184"/>
      <c r="AC337" s="184"/>
      <c r="AD337" s="184"/>
      <c r="AE337" s="184"/>
      <c r="AF337" s="184"/>
      <c r="AG337" s="184"/>
      <c r="AH337" s="184"/>
      <c r="AI337" s="185"/>
      <c r="AJ337" s="185"/>
      <c r="AK337" s="185"/>
      <c r="AL337" s="185"/>
      <c r="AM337" s="185"/>
      <c r="AN337" s="185"/>
      <c r="AO337" s="209"/>
      <c r="AP337" s="185"/>
      <c r="AQ337" s="185"/>
      <c r="AR337" s="185"/>
      <c r="AS337" s="210"/>
      <c r="AT337" s="176"/>
      <c r="AU337" s="176"/>
      <c r="AV337" s="176"/>
      <c r="AW337" s="176"/>
      <c r="AX337" s="176"/>
      <c r="AY337" s="176"/>
      <c r="AZ337" s="176"/>
      <c r="BA337" s="176"/>
      <c r="BB337" s="176"/>
      <c r="BC337" s="176"/>
      <c r="BD337" s="176"/>
      <c r="BE337" s="176"/>
      <c r="BF337" s="176"/>
      <c r="BG337" s="176"/>
      <c r="BH337" s="176"/>
      <c r="BI337" s="176"/>
      <c r="BJ337" s="176"/>
      <c r="BK337" s="211"/>
      <c r="BL337" s="211"/>
      <c r="BM337" s="184"/>
      <c r="BN337" s="184"/>
      <c r="BO337" s="184"/>
      <c r="BP337" s="184"/>
      <c r="BQ337" s="184"/>
      <c r="BR337" s="184"/>
      <c r="BS337" s="184"/>
      <c r="BT337" s="184"/>
      <c r="BU337" s="184"/>
    </row>
    <row r="338" spans="3:73" s="759" customFormat="1" ht="15">
      <c r="C338" s="760"/>
      <c r="G338" s="763"/>
      <c r="K338" s="762"/>
      <c r="O338" s="763"/>
      <c r="X338" s="184"/>
      <c r="Y338" s="184"/>
      <c r="Z338" s="184"/>
      <c r="AA338" s="184"/>
      <c r="AB338" s="184"/>
      <c r="AC338" s="184"/>
      <c r="AD338" s="184"/>
      <c r="AE338" s="184"/>
      <c r="AF338" s="184"/>
      <c r="AG338" s="184"/>
      <c r="AH338" s="184"/>
      <c r="AI338" s="185"/>
      <c r="AJ338" s="185"/>
      <c r="AK338" s="185"/>
      <c r="AL338" s="185"/>
      <c r="AM338" s="185"/>
      <c r="AN338" s="185"/>
      <c r="AO338" s="209"/>
      <c r="AP338" s="185"/>
      <c r="AQ338" s="185"/>
      <c r="AR338" s="185"/>
      <c r="AS338" s="210"/>
      <c r="AT338" s="176"/>
      <c r="AU338" s="176"/>
      <c r="AV338" s="176"/>
      <c r="AW338" s="176"/>
      <c r="AX338" s="176"/>
      <c r="AY338" s="176"/>
      <c r="AZ338" s="176"/>
      <c r="BA338" s="176"/>
      <c r="BB338" s="176"/>
      <c r="BC338" s="176"/>
      <c r="BD338" s="176"/>
      <c r="BE338" s="176"/>
      <c r="BF338" s="176"/>
      <c r="BG338" s="176"/>
      <c r="BH338" s="176"/>
      <c r="BI338" s="176"/>
      <c r="BJ338" s="176"/>
      <c r="BK338" s="211"/>
      <c r="BL338" s="211"/>
      <c r="BM338" s="184"/>
      <c r="BN338" s="184"/>
      <c r="BO338" s="184"/>
      <c r="BP338" s="184"/>
      <c r="BQ338" s="184"/>
      <c r="BR338" s="184"/>
      <c r="BS338" s="184"/>
      <c r="BT338" s="184"/>
      <c r="BU338" s="184"/>
    </row>
    <row r="339" spans="3:73" s="759" customFormat="1" ht="15">
      <c r="C339" s="760"/>
      <c r="G339" s="763"/>
      <c r="K339" s="762"/>
      <c r="O339" s="763"/>
      <c r="X339" s="184"/>
      <c r="Y339" s="184"/>
      <c r="Z339" s="184"/>
      <c r="AA339" s="184"/>
      <c r="AB339" s="184"/>
      <c r="AC339" s="184"/>
      <c r="AD339" s="184"/>
      <c r="AE339" s="184"/>
      <c r="AF339" s="184"/>
      <c r="AG339" s="184"/>
      <c r="AH339" s="184"/>
      <c r="AI339" s="185"/>
      <c r="AJ339" s="185"/>
      <c r="AK339" s="185"/>
      <c r="AL339" s="185"/>
      <c r="AM339" s="185"/>
      <c r="AN339" s="185"/>
      <c r="AO339" s="209"/>
      <c r="AP339" s="185"/>
      <c r="AQ339" s="185"/>
      <c r="AR339" s="185"/>
      <c r="AS339" s="210"/>
      <c r="AT339" s="176"/>
      <c r="AU339" s="176"/>
      <c r="AV339" s="176"/>
      <c r="AW339" s="176"/>
      <c r="AX339" s="176"/>
      <c r="AY339" s="176"/>
      <c r="AZ339" s="176"/>
      <c r="BA339" s="176"/>
      <c r="BB339" s="176"/>
      <c r="BC339" s="176"/>
      <c r="BD339" s="176"/>
      <c r="BE339" s="176"/>
      <c r="BF339" s="176"/>
      <c r="BG339" s="176"/>
      <c r="BH339" s="176"/>
      <c r="BI339" s="176"/>
      <c r="BJ339" s="176"/>
      <c r="BK339" s="211"/>
      <c r="BL339" s="211"/>
      <c r="BM339" s="184"/>
      <c r="BN339" s="184"/>
      <c r="BO339" s="184"/>
      <c r="BP339" s="184"/>
      <c r="BQ339" s="184"/>
      <c r="BR339" s="184"/>
      <c r="BS339" s="184"/>
      <c r="BT339" s="184"/>
      <c r="BU339" s="184"/>
    </row>
    <row r="340" spans="3:73" s="759" customFormat="1" ht="15">
      <c r="C340" s="760"/>
      <c r="G340" s="763"/>
      <c r="K340" s="762"/>
      <c r="O340" s="763"/>
      <c r="X340" s="184"/>
      <c r="Y340" s="184"/>
      <c r="Z340" s="184"/>
      <c r="AA340" s="184"/>
      <c r="AB340" s="184"/>
      <c r="AC340" s="184"/>
      <c r="AD340" s="184"/>
      <c r="AE340" s="184"/>
      <c r="AF340" s="184"/>
      <c r="AG340" s="184"/>
      <c r="AH340" s="184"/>
      <c r="AI340" s="185"/>
      <c r="AJ340" s="185"/>
      <c r="AK340" s="185"/>
      <c r="AL340" s="185"/>
      <c r="AM340" s="185"/>
      <c r="AN340" s="185"/>
      <c r="AO340" s="209"/>
      <c r="AP340" s="185"/>
      <c r="AQ340" s="185"/>
      <c r="AR340" s="185"/>
      <c r="AS340" s="210"/>
      <c r="AT340" s="176"/>
      <c r="AU340" s="176"/>
      <c r="AV340" s="176"/>
      <c r="AW340" s="176"/>
      <c r="AX340" s="176"/>
      <c r="AY340" s="176"/>
      <c r="AZ340" s="176"/>
      <c r="BA340" s="176"/>
      <c r="BB340" s="176"/>
      <c r="BC340" s="176"/>
      <c r="BD340" s="176"/>
      <c r="BE340" s="176"/>
      <c r="BF340" s="176"/>
      <c r="BG340" s="176"/>
      <c r="BH340" s="176"/>
      <c r="BI340" s="176"/>
      <c r="BJ340" s="176"/>
      <c r="BK340" s="211"/>
      <c r="BL340" s="211"/>
      <c r="BM340" s="184"/>
      <c r="BN340" s="184"/>
      <c r="BO340" s="184"/>
      <c r="BP340" s="184"/>
      <c r="BQ340" s="184"/>
      <c r="BR340" s="184"/>
      <c r="BS340" s="184"/>
      <c r="BT340" s="184"/>
      <c r="BU340" s="184"/>
    </row>
    <row r="341" spans="3:73" s="759" customFormat="1" ht="15">
      <c r="C341" s="760"/>
      <c r="G341" s="763"/>
      <c r="K341" s="762"/>
      <c r="O341" s="763"/>
      <c r="X341" s="184"/>
      <c r="Y341" s="184"/>
      <c r="Z341" s="184"/>
      <c r="AA341" s="184"/>
      <c r="AB341" s="184"/>
      <c r="AC341" s="184"/>
      <c r="AD341" s="184"/>
      <c r="AE341" s="184"/>
      <c r="AF341" s="184"/>
      <c r="AG341" s="184"/>
      <c r="AH341" s="184"/>
      <c r="AI341" s="185"/>
      <c r="AJ341" s="185"/>
      <c r="AK341" s="185"/>
      <c r="AL341" s="185"/>
      <c r="AM341" s="185"/>
      <c r="AN341" s="185"/>
      <c r="AO341" s="209"/>
      <c r="AP341" s="185"/>
      <c r="AQ341" s="185"/>
      <c r="AR341" s="185"/>
      <c r="AS341" s="210"/>
      <c r="AT341" s="176"/>
      <c r="AU341" s="176"/>
      <c r="AV341" s="176"/>
      <c r="AW341" s="176"/>
      <c r="AX341" s="176"/>
      <c r="AY341" s="176"/>
      <c r="AZ341" s="176"/>
      <c r="BA341" s="176"/>
      <c r="BB341" s="176"/>
      <c r="BC341" s="176"/>
      <c r="BD341" s="176"/>
      <c r="BE341" s="176"/>
      <c r="BF341" s="176"/>
      <c r="BG341" s="176"/>
      <c r="BH341" s="176"/>
      <c r="BI341" s="176"/>
      <c r="BJ341" s="176"/>
      <c r="BK341" s="211"/>
      <c r="BL341" s="211"/>
      <c r="BM341" s="184"/>
      <c r="BN341" s="184"/>
      <c r="BO341" s="184"/>
      <c r="BP341" s="184"/>
      <c r="BQ341" s="184"/>
      <c r="BR341" s="184"/>
      <c r="BS341" s="184"/>
      <c r="BT341" s="184"/>
      <c r="BU341" s="184"/>
    </row>
    <row r="342" spans="3:73" s="759" customFormat="1" ht="15">
      <c r="C342" s="760"/>
      <c r="G342" s="763"/>
      <c r="K342" s="762"/>
      <c r="O342" s="763"/>
      <c r="X342" s="184"/>
      <c r="Y342" s="184"/>
      <c r="Z342" s="184"/>
      <c r="AA342" s="184"/>
      <c r="AB342" s="184"/>
      <c r="AC342" s="184"/>
      <c r="AD342" s="184"/>
      <c r="AE342" s="184"/>
      <c r="AF342" s="184"/>
      <c r="AG342" s="184"/>
      <c r="AH342" s="184"/>
      <c r="AI342" s="185"/>
      <c r="AJ342" s="185"/>
      <c r="AK342" s="185"/>
      <c r="AL342" s="185"/>
      <c r="AM342" s="185"/>
      <c r="AN342" s="185"/>
      <c r="AO342" s="209"/>
      <c r="AP342" s="185"/>
      <c r="AQ342" s="185"/>
      <c r="AR342" s="185"/>
      <c r="AS342" s="210"/>
      <c r="AT342" s="176"/>
      <c r="AU342" s="176"/>
      <c r="AV342" s="176"/>
      <c r="AW342" s="176"/>
      <c r="AX342" s="176"/>
      <c r="AY342" s="176"/>
      <c r="AZ342" s="176"/>
      <c r="BA342" s="176"/>
      <c r="BB342" s="176"/>
      <c r="BC342" s="176"/>
      <c r="BD342" s="176"/>
      <c r="BE342" s="176"/>
      <c r="BF342" s="176"/>
      <c r="BG342" s="176"/>
      <c r="BH342" s="176"/>
      <c r="BI342" s="176"/>
      <c r="BJ342" s="176"/>
      <c r="BK342" s="211"/>
      <c r="BL342" s="211"/>
      <c r="BM342" s="184"/>
      <c r="BN342" s="184"/>
      <c r="BO342" s="184"/>
      <c r="BP342" s="184"/>
      <c r="BQ342" s="184"/>
      <c r="BR342" s="184"/>
      <c r="BS342" s="184"/>
      <c r="BT342" s="184"/>
      <c r="BU342" s="184"/>
    </row>
    <row r="343" spans="3:73" s="759" customFormat="1" ht="15">
      <c r="C343" s="760"/>
      <c r="G343" s="763"/>
      <c r="K343" s="762"/>
      <c r="O343" s="763"/>
      <c r="X343" s="184"/>
      <c r="Y343" s="184"/>
      <c r="Z343" s="184"/>
      <c r="AA343" s="184"/>
      <c r="AB343" s="184"/>
      <c r="AC343" s="184"/>
      <c r="AD343" s="184"/>
      <c r="AE343" s="184"/>
      <c r="AF343" s="184"/>
      <c r="AG343" s="184"/>
      <c r="AH343" s="184"/>
      <c r="AI343" s="185"/>
      <c r="AJ343" s="185"/>
      <c r="AK343" s="185"/>
      <c r="AL343" s="185"/>
      <c r="AM343" s="185"/>
      <c r="AN343" s="185"/>
      <c r="AO343" s="209"/>
      <c r="AP343" s="185"/>
      <c r="AQ343" s="185"/>
      <c r="AR343" s="185"/>
      <c r="AS343" s="210"/>
      <c r="AT343" s="176"/>
      <c r="AU343" s="176"/>
      <c r="AV343" s="176"/>
      <c r="AW343" s="176"/>
      <c r="AX343" s="176"/>
      <c r="AY343" s="176"/>
      <c r="AZ343" s="176"/>
      <c r="BA343" s="176"/>
      <c r="BB343" s="176"/>
      <c r="BC343" s="176"/>
      <c r="BD343" s="176"/>
      <c r="BE343" s="176"/>
      <c r="BF343" s="176"/>
      <c r="BG343" s="176"/>
      <c r="BH343" s="176"/>
      <c r="BI343" s="176"/>
      <c r="BJ343" s="176"/>
      <c r="BK343" s="211"/>
      <c r="BL343" s="211"/>
      <c r="BM343" s="184"/>
      <c r="BN343" s="184"/>
      <c r="BO343" s="184"/>
      <c r="BP343" s="184"/>
      <c r="BQ343" s="184"/>
      <c r="BR343" s="184"/>
      <c r="BS343" s="184"/>
      <c r="BT343" s="184"/>
      <c r="BU343" s="184"/>
    </row>
    <row r="344" spans="3:73" s="759" customFormat="1" ht="15">
      <c r="C344" s="760"/>
      <c r="G344" s="763"/>
      <c r="K344" s="762"/>
      <c r="O344" s="763"/>
      <c r="X344" s="184"/>
      <c r="Y344" s="184"/>
      <c r="Z344" s="184"/>
      <c r="AA344" s="184"/>
      <c r="AB344" s="184"/>
      <c r="AC344" s="184"/>
      <c r="AD344" s="184"/>
      <c r="AE344" s="184"/>
      <c r="AF344" s="184"/>
      <c r="AG344" s="184"/>
      <c r="AH344" s="184"/>
      <c r="AI344" s="185"/>
      <c r="AJ344" s="185"/>
      <c r="AK344" s="185"/>
      <c r="AL344" s="185"/>
      <c r="AM344" s="185"/>
      <c r="AN344" s="185"/>
      <c r="AO344" s="209"/>
      <c r="AP344" s="185"/>
      <c r="AQ344" s="185"/>
      <c r="AR344" s="185"/>
      <c r="AS344" s="210"/>
      <c r="AT344" s="176"/>
      <c r="AU344" s="176"/>
      <c r="AV344" s="176"/>
      <c r="AW344" s="176"/>
      <c r="AX344" s="176"/>
      <c r="AY344" s="176"/>
      <c r="AZ344" s="176"/>
      <c r="BA344" s="176"/>
      <c r="BB344" s="176"/>
      <c r="BC344" s="176"/>
      <c r="BD344" s="176"/>
      <c r="BE344" s="176"/>
      <c r="BF344" s="176"/>
      <c r="BG344" s="176"/>
      <c r="BH344" s="176"/>
      <c r="BI344" s="176"/>
      <c r="BJ344" s="176"/>
      <c r="BK344" s="211"/>
      <c r="BL344" s="211"/>
      <c r="BM344" s="184"/>
      <c r="BN344" s="184"/>
      <c r="BO344" s="184"/>
      <c r="BP344" s="184"/>
      <c r="BQ344" s="184"/>
      <c r="BR344" s="184"/>
      <c r="BS344" s="184"/>
      <c r="BT344" s="184"/>
      <c r="BU344" s="184"/>
    </row>
    <row r="345" spans="3:73" s="759" customFormat="1" ht="15">
      <c r="C345" s="760"/>
      <c r="G345" s="763"/>
      <c r="K345" s="762"/>
      <c r="O345" s="763"/>
      <c r="X345" s="184"/>
      <c r="Y345" s="184"/>
      <c r="Z345" s="184"/>
      <c r="AA345" s="184"/>
      <c r="AB345" s="184"/>
      <c r="AC345" s="184"/>
      <c r="AD345" s="184"/>
      <c r="AE345" s="184"/>
      <c r="AF345" s="184"/>
      <c r="AG345" s="184"/>
      <c r="AH345" s="184"/>
      <c r="AI345" s="185"/>
      <c r="AJ345" s="185"/>
      <c r="AK345" s="185"/>
      <c r="AL345" s="185"/>
      <c r="AM345" s="185"/>
      <c r="AN345" s="185"/>
      <c r="AO345" s="209"/>
      <c r="AP345" s="185"/>
      <c r="AQ345" s="185"/>
      <c r="AR345" s="185"/>
      <c r="AS345" s="210"/>
      <c r="AT345" s="176"/>
      <c r="AU345" s="176"/>
      <c r="AV345" s="176"/>
      <c r="AW345" s="176"/>
      <c r="AX345" s="176"/>
      <c r="AY345" s="176"/>
      <c r="AZ345" s="176"/>
      <c r="BA345" s="176"/>
      <c r="BB345" s="176"/>
      <c r="BC345" s="176"/>
      <c r="BD345" s="176"/>
      <c r="BE345" s="176"/>
      <c r="BF345" s="176"/>
      <c r="BG345" s="176"/>
      <c r="BH345" s="176"/>
      <c r="BI345" s="176"/>
      <c r="BJ345" s="176"/>
      <c r="BK345" s="211"/>
      <c r="BL345" s="211"/>
      <c r="BM345" s="184"/>
      <c r="BN345" s="184"/>
      <c r="BO345" s="184"/>
      <c r="BP345" s="184"/>
      <c r="BQ345" s="184"/>
      <c r="BR345" s="184"/>
      <c r="BS345" s="184"/>
      <c r="BT345" s="184"/>
      <c r="BU345" s="184"/>
    </row>
    <row r="346" spans="3:73" s="759" customFormat="1" ht="15">
      <c r="C346" s="760"/>
      <c r="G346" s="763"/>
      <c r="K346" s="762"/>
      <c r="O346" s="763"/>
      <c r="X346" s="184"/>
      <c r="Y346" s="184"/>
      <c r="Z346" s="184"/>
      <c r="AA346" s="184"/>
      <c r="AB346" s="184"/>
      <c r="AC346" s="184"/>
      <c r="AD346" s="184"/>
      <c r="AE346" s="184"/>
      <c r="AF346" s="184"/>
      <c r="AG346" s="184"/>
      <c r="AH346" s="184"/>
      <c r="AI346" s="185"/>
      <c r="AJ346" s="185"/>
      <c r="AK346" s="185"/>
      <c r="AL346" s="185"/>
      <c r="AM346" s="185"/>
      <c r="AN346" s="185"/>
      <c r="AO346" s="209"/>
      <c r="AP346" s="185"/>
      <c r="AQ346" s="185"/>
      <c r="AR346" s="185"/>
      <c r="AS346" s="210"/>
      <c r="AT346" s="176"/>
      <c r="AU346" s="176"/>
      <c r="AV346" s="176"/>
      <c r="AW346" s="176"/>
      <c r="AX346" s="176"/>
      <c r="AY346" s="176"/>
      <c r="AZ346" s="176"/>
      <c r="BA346" s="176"/>
      <c r="BB346" s="176"/>
      <c r="BC346" s="176"/>
      <c r="BD346" s="176"/>
      <c r="BE346" s="176"/>
      <c r="BF346" s="176"/>
      <c r="BG346" s="176"/>
      <c r="BH346" s="176"/>
      <c r="BI346" s="176"/>
      <c r="BJ346" s="176"/>
      <c r="BK346" s="211"/>
      <c r="BL346" s="211"/>
      <c r="BM346" s="184"/>
      <c r="BN346" s="184"/>
      <c r="BO346" s="184"/>
      <c r="BP346" s="184"/>
      <c r="BQ346" s="184"/>
      <c r="BR346" s="184"/>
      <c r="BS346" s="184"/>
      <c r="BT346" s="184"/>
      <c r="BU346" s="184"/>
    </row>
    <row r="347" spans="3:73" s="759" customFormat="1" ht="15">
      <c r="C347" s="760"/>
      <c r="G347" s="763"/>
      <c r="K347" s="762"/>
      <c r="O347" s="763"/>
      <c r="X347" s="184"/>
      <c r="Y347" s="184"/>
      <c r="Z347" s="184"/>
      <c r="AA347" s="184"/>
      <c r="AB347" s="184"/>
      <c r="AC347" s="184"/>
      <c r="AD347" s="184"/>
      <c r="AE347" s="184"/>
      <c r="AF347" s="184"/>
      <c r="AG347" s="184"/>
      <c r="AH347" s="184"/>
      <c r="AI347" s="185"/>
      <c r="AJ347" s="185"/>
      <c r="AK347" s="185"/>
      <c r="AL347" s="185"/>
      <c r="AM347" s="185"/>
      <c r="AN347" s="185"/>
      <c r="AO347" s="209"/>
      <c r="AP347" s="185"/>
      <c r="AQ347" s="185"/>
      <c r="AR347" s="185"/>
      <c r="AS347" s="210"/>
      <c r="AT347" s="176"/>
      <c r="AU347" s="176"/>
      <c r="AV347" s="176"/>
      <c r="AW347" s="176"/>
      <c r="AX347" s="176"/>
      <c r="AY347" s="176"/>
      <c r="AZ347" s="176"/>
      <c r="BA347" s="176"/>
      <c r="BB347" s="176"/>
      <c r="BC347" s="176"/>
      <c r="BD347" s="176"/>
      <c r="BE347" s="176"/>
      <c r="BF347" s="176"/>
      <c r="BG347" s="176"/>
      <c r="BH347" s="176"/>
      <c r="BI347" s="176"/>
      <c r="BJ347" s="176"/>
      <c r="BK347" s="211"/>
      <c r="BL347" s="211"/>
      <c r="BM347" s="184"/>
      <c r="BN347" s="184"/>
      <c r="BO347" s="184"/>
      <c r="BP347" s="184"/>
      <c r="BQ347" s="184"/>
      <c r="BR347" s="184"/>
      <c r="BS347" s="184"/>
      <c r="BT347" s="184"/>
      <c r="BU347" s="184"/>
    </row>
    <row r="348" spans="3:73" s="759" customFormat="1" ht="15">
      <c r="C348" s="760"/>
      <c r="G348" s="763"/>
      <c r="K348" s="762"/>
      <c r="O348" s="763"/>
      <c r="X348" s="184"/>
      <c r="Y348" s="184"/>
      <c r="Z348" s="184"/>
      <c r="AA348" s="184"/>
      <c r="AB348" s="184"/>
      <c r="AC348" s="184"/>
      <c r="AD348" s="184"/>
      <c r="AE348" s="184"/>
      <c r="AF348" s="184"/>
      <c r="AG348" s="184"/>
      <c r="AH348" s="184"/>
      <c r="AI348" s="185"/>
      <c r="AJ348" s="185"/>
      <c r="AK348" s="185"/>
      <c r="AL348" s="185"/>
      <c r="AM348" s="185"/>
      <c r="AN348" s="185"/>
      <c r="AO348" s="209"/>
      <c r="AP348" s="185"/>
      <c r="AQ348" s="185"/>
      <c r="AR348" s="185"/>
      <c r="AS348" s="210"/>
      <c r="AT348" s="176"/>
      <c r="AU348" s="176"/>
      <c r="AV348" s="176"/>
      <c r="AW348" s="176"/>
      <c r="AX348" s="176"/>
      <c r="AY348" s="176"/>
      <c r="AZ348" s="176"/>
      <c r="BA348" s="176"/>
      <c r="BB348" s="176"/>
      <c r="BC348" s="176"/>
      <c r="BD348" s="176"/>
      <c r="BE348" s="176"/>
      <c r="BF348" s="176"/>
      <c r="BG348" s="176"/>
      <c r="BH348" s="176"/>
      <c r="BI348" s="176"/>
      <c r="BJ348" s="176"/>
      <c r="BK348" s="211"/>
      <c r="BL348" s="211"/>
      <c r="BM348" s="184"/>
      <c r="BN348" s="184"/>
      <c r="BO348" s="184"/>
      <c r="BP348" s="184"/>
      <c r="BQ348" s="184"/>
      <c r="BR348" s="184"/>
      <c r="BS348" s="184"/>
      <c r="BT348" s="184"/>
      <c r="BU348" s="184"/>
    </row>
    <row r="349" spans="3:73" s="759" customFormat="1" ht="15">
      <c r="C349" s="760"/>
      <c r="G349" s="763"/>
      <c r="K349" s="762"/>
      <c r="O349" s="763"/>
      <c r="X349" s="184"/>
      <c r="Y349" s="184"/>
      <c r="Z349" s="184"/>
      <c r="AA349" s="184"/>
      <c r="AB349" s="184"/>
      <c r="AC349" s="184"/>
      <c r="AD349" s="184"/>
      <c r="AE349" s="184"/>
      <c r="AF349" s="184"/>
      <c r="AG349" s="184"/>
      <c r="AH349" s="184"/>
      <c r="AI349" s="185"/>
      <c r="AJ349" s="185"/>
      <c r="AK349" s="185"/>
      <c r="AL349" s="185"/>
      <c r="AM349" s="185"/>
      <c r="AN349" s="185"/>
      <c r="AO349" s="209"/>
      <c r="AP349" s="185"/>
      <c r="AQ349" s="185"/>
      <c r="AR349" s="185"/>
      <c r="AS349" s="210"/>
      <c r="AT349" s="176"/>
      <c r="AU349" s="176"/>
      <c r="AV349" s="176"/>
      <c r="AW349" s="176"/>
      <c r="AX349" s="176"/>
      <c r="AY349" s="176"/>
      <c r="AZ349" s="176"/>
      <c r="BA349" s="176"/>
      <c r="BB349" s="176"/>
      <c r="BC349" s="176"/>
      <c r="BD349" s="176"/>
      <c r="BE349" s="176"/>
      <c r="BF349" s="176"/>
      <c r="BG349" s="176"/>
      <c r="BH349" s="176"/>
      <c r="BI349" s="176"/>
      <c r="BJ349" s="176"/>
      <c r="BK349" s="211"/>
      <c r="BL349" s="211"/>
      <c r="BM349" s="184"/>
      <c r="BN349" s="184"/>
      <c r="BO349" s="184"/>
      <c r="BP349" s="184"/>
      <c r="BQ349" s="184"/>
      <c r="BR349" s="184"/>
      <c r="BS349" s="184"/>
      <c r="BT349" s="184"/>
      <c r="BU349" s="184"/>
    </row>
    <row r="350" spans="3:73" s="759" customFormat="1" ht="15">
      <c r="C350" s="760"/>
      <c r="G350" s="763"/>
      <c r="K350" s="762"/>
      <c r="O350" s="763"/>
      <c r="X350" s="184"/>
      <c r="Y350" s="184"/>
      <c r="Z350" s="184"/>
      <c r="AA350" s="184"/>
      <c r="AB350" s="184"/>
      <c r="AC350" s="184"/>
      <c r="AD350" s="184"/>
      <c r="AE350" s="184"/>
      <c r="AF350" s="184"/>
      <c r="AG350" s="184"/>
      <c r="AH350" s="184"/>
      <c r="AI350" s="185"/>
      <c r="AJ350" s="185"/>
      <c r="AK350" s="185"/>
      <c r="AL350" s="185"/>
      <c r="AM350" s="185"/>
      <c r="AN350" s="185"/>
      <c r="AO350" s="209"/>
      <c r="AP350" s="185"/>
      <c r="AQ350" s="185"/>
      <c r="AR350" s="185"/>
      <c r="AS350" s="210"/>
      <c r="AT350" s="176"/>
      <c r="AU350" s="176"/>
      <c r="AV350" s="176"/>
      <c r="AW350" s="176"/>
      <c r="AX350" s="176"/>
      <c r="AY350" s="176"/>
      <c r="AZ350" s="176"/>
      <c r="BA350" s="176"/>
      <c r="BB350" s="176"/>
      <c r="BC350" s="176"/>
      <c r="BD350" s="176"/>
      <c r="BE350" s="176"/>
      <c r="BF350" s="176"/>
      <c r="BG350" s="176"/>
      <c r="BH350" s="176"/>
      <c r="BI350" s="176"/>
      <c r="BJ350" s="176"/>
      <c r="BK350" s="211"/>
      <c r="BL350" s="211"/>
      <c r="BM350" s="184"/>
      <c r="BN350" s="184"/>
      <c r="BO350" s="184"/>
      <c r="BP350" s="184"/>
      <c r="BQ350" s="184"/>
      <c r="BR350" s="184"/>
      <c r="BS350" s="184"/>
      <c r="BT350" s="184"/>
      <c r="BU350" s="184"/>
    </row>
    <row r="351" spans="3:73" s="759" customFormat="1" ht="15">
      <c r="C351" s="760"/>
      <c r="G351" s="763"/>
      <c r="K351" s="762"/>
      <c r="O351" s="763"/>
      <c r="X351" s="184"/>
      <c r="Y351" s="184"/>
      <c r="Z351" s="184"/>
      <c r="AA351" s="184"/>
      <c r="AB351" s="184"/>
      <c r="AC351" s="184"/>
      <c r="AD351" s="184"/>
      <c r="AE351" s="184"/>
      <c r="AF351" s="184"/>
      <c r="AG351" s="184"/>
      <c r="AH351" s="184"/>
      <c r="AI351" s="185"/>
      <c r="AJ351" s="185"/>
      <c r="AK351" s="185"/>
      <c r="AL351" s="185"/>
      <c r="AM351" s="185"/>
      <c r="AN351" s="185"/>
      <c r="AO351" s="209"/>
      <c r="AP351" s="185"/>
      <c r="AQ351" s="185"/>
      <c r="AR351" s="185"/>
      <c r="AS351" s="210"/>
      <c r="AT351" s="176"/>
      <c r="AU351" s="176"/>
      <c r="AV351" s="176"/>
      <c r="AW351" s="176"/>
      <c r="AX351" s="176"/>
      <c r="AY351" s="176"/>
      <c r="AZ351" s="176"/>
      <c r="BA351" s="176"/>
      <c r="BB351" s="176"/>
      <c r="BC351" s="176"/>
      <c r="BD351" s="176"/>
      <c r="BE351" s="176"/>
      <c r="BF351" s="176"/>
      <c r="BG351" s="176"/>
      <c r="BH351" s="176"/>
      <c r="BI351" s="176"/>
      <c r="BJ351" s="176"/>
      <c r="BK351" s="211"/>
      <c r="BL351" s="211"/>
      <c r="BM351" s="184"/>
      <c r="BN351" s="184"/>
      <c r="BO351" s="184"/>
      <c r="BP351" s="184"/>
      <c r="BQ351" s="184"/>
      <c r="BR351" s="184"/>
      <c r="BS351" s="184"/>
      <c r="BT351" s="184"/>
      <c r="BU351" s="184"/>
    </row>
    <row r="352" spans="3:73" s="759" customFormat="1" ht="15">
      <c r="C352" s="760"/>
      <c r="G352" s="763"/>
      <c r="K352" s="762"/>
      <c r="O352" s="763"/>
      <c r="X352" s="184"/>
      <c r="Y352" s="184"/>
      <c r="Z352" s="184"/>
      <c r="AA352" s="184"/>
      <c r="AB352" s="184"/>
      <c r="AC352" s="184"/>
      <c r="AD352" s="184"/>
      <c r="AE352" s="184"/>
      <c r="AF352" s="184"/>
      <c r="AG352" s="184"/>
      <c r="AH352" s="184"/>
      <c r="AI352" s="185"/>
      <c r="AJ352" s="185"/>
      <c r="AK352" s="185"/>
      <c r="AL352" s="185"/>
      <c r="AM352" s="185"/>
      <c r="AN352" s="185"/>
      <c r="AO352" s="209"/>
      <c r="AP352" s="185"/>
      <c r="AQ352" s="185"/>
      <c r="AR352" s="185"/>
      <c r="AS352" s="210"/>
      <c r="AT352" s="176"/>
      <c r="AU352" s="176"/>
      <c r="AV352" s="176"/>
      <c r="AW352" s="176"/>
      <c r="AX352" s="176"/>
      <c r="AY352" s="176"/>
      <c r="AZ352" s="176"/>
      <c r="BA352" s="176"/>
      <c r="BB352" s="176"/>
      <c r="BC352" s="176"/>
      <c r="BD352" s="176"/>
      <c r="BE352" s="176"/>
      <c r="BF352" s="176"/>
      <c r="BG352" s="176"/>
      <c r="BH352" s="176"/>
      <c r="BI352" s="176"/>
      <c r="BJ352" s="176"/>
      <c r="BK352" s="211"/>
      <c r="BL352" s="211"/>
      <c r="BM352" s="184"/>
      <c r="BN352" s="184"/>
      <c r="BO352" s="184"/>
      <c r="BP352" s="184"/>
      <c r="BQ352" s="184"/>
      <c r="BR352" s="184"/>
      <c r="BS352" s="184"/>
      <c r="BT352" s="184"/>
      <c r="BU352" s="184"/>
    </row>
    <row r="353" spans="3:73" s="759" customFormat="1" ht="15">
      <c r="C353" s="760"/>
      <c r="G353" s="763"/>
      <c r="K353" s="762"/>
      <c r="O353" s="763"/>
      <c r="X353" s="184"/>
      <c r="Y353" s="184"/>
      <c r="Z353" s="184"/>
      <c r="AA353" s="184"/>
      <c r="AB353" s="184"/>
      <c r="AC353" s="184"/>
      <c r="AD353" s="184"/>
      <c r="AE353" s="184"/>
      <c r="AF353" s="184"/>
      <c r="AG353" s="184"/>
      <c r="AH353" s="184"/>
      <c r="AI353" s="185"/>
      <c r="AJ353" s="185"/>
      <c r="AK353" s="185"/>
      <c r="AL353" s="185"/>
      <c r="AM353" s="185"/>
      <c r="AN353" s="185"/>
      <c r="AO353" s="209"/>
      <c r="AP353" s="185"/>
      <c r="AQ353" s="185"/>
      <c r="AR353" s="185"/>
      <c r="AS353" s="210"/>
      <c r="AT353" s="176"/>
      <c r="AU353" s="176"/>
      <c r="AV353" s="176"/>
      <c r="AW353" s="176"/>
      <c r="AX353" s="176"/>
      <c r="AY353" s="176"/>
      <c r="AZ353" s="176"/>
      <c r="BA353" s="176"/>
      <c r="BB353" s="176"/>
      <c r="BC353" s="176"/>
      <c r="BD353" s="176"/>
      <c r="BE353" s="176"/>
      <c r="BF353" s="176"/>
      <c r="BG353" s="176"/>
      <c r="BH353" s="176"/>
      <c r="BI353" s="176"/>
      <c r="BJ353" s="176"/>
      <c r="BK353" s="211"/>
      <c r="BL353" s="211"/>
      <c r="BM353" s="184"/>
      <c r="BN353" s="184"/>
      <c r="BO353" s="184"/>
      <c r="BP353" s="184"/>
      <c r="BQ353" s="184"/>
      <c r="BR353" s="184"/>
      <c r="BS353" s="184"/>
      <c r="BT353" s="184"/>
      <c r="BU353" s="184"/>
    </row>
    <row r="354" spans="3:73" s="759" customFormat="1" ht="15">
      <c r="C354" s="760"/>
      <c r="G354" s="763"/>
      <c r="K354" s="762"/>
      <c r="O354" s="763"/>
      <c r="X354" s="184"/>
      <c r="Y354" s="184"/>
      <c r="Z354" s="184"/>
      <c r="AA354" s="184"/>
      <c r="AB354" s="184"/>
      <c r="AC354" s="184"/>
      <c r="AD354" s="184"/>
      <c r="AE354" s="184"/>
      <c r="AF354" s="184"/>
      <c r="AG354" s="184"/>
      <c r="AH354" s="184"/>
      <c r="AI354" s="185"/>
      <c r="AJ354" s="185"/>
      <c r="AK354" s="185"/>
      <c r="AL354" s="185"/>
      <c r="AM354" s="185"/>
      <c r="AN354" s="185"/>
      <c r="AO354" s="209"/>
      <c r="AP354" s="185"/>
      <c r="AQ354" s="185"/>
      <c r="AR354" s="185"/>
      <c r="AS354" s="210"/>
      <c r="AT354" s="176"/>
      <c r="AU354" s="176"/>
      <c r="AV354" s="176"/>
      <c r="AW354" s="176"/>
      <c r="AX354" s="176"/>
      <c r="AY354" s="176"/>
      <c r="AZ354" s="176"/>
      <c r="BA354" s="176"/>
      <c r="BB354" s="176"/>
      <c r="BC354" s="176"/>
      <c r="BD354" s="176"/>
      <c r="BE354" s="176"/>
      <c r="BF354" s="176"/>
      <c r="BG354" s="176"/>
      <c r="BH354" s="176"/>
      <c r="BI354" s="176"/>
      <c r="BJ354" s="176"/>
      <c r="BK354" s="211"/>
      <c r="BL354" s="211"/>
      <c r="BM354" s="184"/>
      <c r="BN354" s="184"/>
      <c r="BO354" s="184"/>
      <c r="BP354" s="184"/>
      <c r="BQ354" s="184"/>
      <c r="BR354" s="184"/>
      <c r="BS354" s="184"/>
      <c r="BT354" s="184"/>
      <c r="BU354" s="184"/>
    </row>
    <row r="355" spans="3:73" s="759" customFormat="1" ht="15">
      <c r="C355" s="760"/>
      <c r="G355" s="763"/>
      <c r="K355" s="762"/>
      <c r="O355" s="763"/>
      <c r="X355" s="184"/>
      <c r="Y355" s="184"/>
      <c r="Z355" s="184"/>
      <c r="AA355" s="184"/>
      <c r="AB355" s="184"/>
      <c r="AC355" s="184"/>
      <c r="AD355" s="184"/>
      <c r="AE355" s="184"/>
      <c r="AF355" s="184"/>
      <c r="AG355" s="184"/>
      <c r="AH355" s="184"/>
      <c r="AI355" s="185"/>
      <c r="AJ355" s="185"/>
      <c r="AK355" s="185"/>
      <c r="AL355" s="185"/>
      <c r="AM355" s="185"/>
      <c r="AN355" s="185"/>
      <c r="AO355" s="209"/>
      <c r="AP355" s="185"/>
      <c r="AQ355" s="185"/>
      <c r="AR355" s="185"/>
      <c r="AS355" s="210"/>
      <c r="AT355" s="176"/>
      <c r="AU355" s="176"/>
      <c r="AV355" s="176"/>
      <c r="AW355" s="176"/>
      <c r="AX355" s="176"/>
      <c r="AY355" s="176"/>
      <c r="AZ355" s="176"/>
      <c r="BA355" s="176"/>
      <c r="BB355" s="176"/>
      <c r="BC355" s="176"/>
      <c r="BD355" s="176"/>
      <c r="BE355" s="176"/>
      <c r="BF355" s="176"/>
      <c r="BG355" s="176"/>
      <c r="BH355" s="176"/>
      <c r="BI355" s="176"/>
      <c r="BJ355" s="176"/>
      <c r="BK355" s="211"/>
      <c r="BL355" s="211"/>
      <c r="BM355" s="184"/>
      <c r="BN355" s="184"/>
      <c r="BO355" s="184"/>
      <c r="BP355" s="184"/>
      <c r="BQ355" s="184"/>
      <c r="BR355" s="184"/>
      <c r="BS355" s="184"/>
      <c r="BT355" s="184"/>
      <c r="BU355" s="184"/>
    </row>
    <row r="356" spans="3:73" s="759" customFormat="1" ht="15">
      <c r="C356" s="760"/>
      <c r="G356" s="763"/>
      <c r="K356" s="762"/>
      <c r="O356" s="763"/>
      <c r="X356" s="184"/>
      <c r="Y356" s="184"/>
      <c r="Z356" s="184"/>
      <c r="AA356" s="184"/>
      <c r="AB356" s="184"/>
      <c r="AC356" s="184"/>
      <c r="AD356" s="184"/>
      <c r="AE356" s="184"/>
      <c r="AF356" s="184"/>
      <c r="AG356" s="184"/>
      <c r="AH356" s="184"/>
      <c r="AI356" s="185"/>
      <c r="AJ356" s="185"/>
      <c r="AK356" s="185"/>
      <c r="AL356" s="185"/>
      <c r="AM356" s="185"/>
      <c r="AN356" s="185"/>
      <c r="AO356" s="209"/>
      <c r="AP356" s="185"/>
      <c r="AQ356" s="185"/>
      <c r="AR356" s="185"/>
      <c r="AS356" s="210"/>
      <c r="AT356" s="176"/>
      <c r="AU356" s="176"/>
      <c r="AV356" s="176"/>
      <c r="AW356" s="176"/>
      <c r="AX356" s="176"/>
      <c r="AY356" s="176"/>
      <c r="AZ356" s="176"/>
      <c r="BA356" s="176"/>
      <c r="BB356" s="176"/>
      <c r="BC356" s="176"/>
      <c r="BD356" s="176"/>
      <c r="BE356" s="176"/>
      <c r="BF356" s="176"/>
      <c r="BG356" s="176"/>
      <c r="BH356" s="176"/>
      <c r="BI356" s="176"/>
      <c r="BJ356" s="176"/>
      <c r="BK356" s="211"/>
      <c r="BL356" s="211"/>
      <c r="BM356" s="184"/>
      <c r="BN356" s="184"/>
      <c r="BO356" s="184"/>
      <c r="BP356" s="184"/>
      <c r="BQ356" s="184"/>
      <c r="BR356" s="184"/>
      <c r="BS356" s="184"/>
      <c r="BT356" s="184"/>
      <c r="BU356" s="184"/>
    </row>
    <row r="357" spans="3:73" s="759" customFormat="1" ht="15">
      <c r="C357" s="760"/>
      <c r="G357" s="763"/>
      <c r="K357" s="762"/>
      <c r="O357" s="763"/>
      <c r="X357" s="184"/>
      <c r="Y357" s="184"/>
      <c r="Z357" s="184"/>
      <c r="AA357" s="184"/>
      <c r="AB357" s="184"/>
      <c r="AC357" s="184"/>
      <c r="AD357" s="184"/>
      <c r="AE357" s="184"/>
      <c r="AF357" s="184"/>
      <c r="AG357" s="184"/>
      <c r="AH357" s="184"/>
      <c r="AI357" s="185"/>
      <c r="AJ357" s="185"/>
      <c r="AK357" s="185"/>
      <c r="AL357" s="185"/>
      <c r="AM357" s="185"/>
      <c r="AN357" s="185"/>
      <c r="AO357" s="209"/>
      <c r="AP357" s="185"/>
      <c r="AQ357" s="185"/>
      <c r="AR357" s="185"/>
      <c r="AS357" s="210"/>
      <c r="AT357" s="176"/>
      <c r="AU357" s="176"/>
      <c r="AV357" s="176"/>
      <c r="AW357" s="176"/>
      <c r="AX357" s="176"/>
      <c r="AY357" s="176"/>
      <c r="AZ357" s="176"/>
      <c r="BA357" s="176"/>
      <c r="BB357" s="176"/>
      <c r="BC357" s="176"/>
      <c r="BD357" s="176"/>
      <c r="BE357" s="176"/>
      <c r="BF357" s="176"/>
      <c r="BG357" s="176"/>
      <c r="BH357" s="176"/>
      <c r="BI357" s="176"/>
      <c r="BJ357" s="176"/>
      <c r="BK357" s="211"/>
      <c r="BL357" s="211"/>
      <c r="BM357" s="184"/>
      <c r="BN357" s="184"/>
      <c r="BO357" s="184"/>
      <c r="BP357" s="184"/>
      <c r="BQ357" s="184"/>
      <c r="BR357" s="184"/>
      <c r="BS357" s="184"/>
      <c r="BT357" s="184"/>
      <c r="BU357" s="184"/>
    </row>
    <row r="358" spans="3:73" s="759" customFormat="1" ht="15">
      <c r="C358" s="760"/>
      <c r="G358" s="763"/>
      <c r="K358" s="762"/>
      <c r="O358" s="763"/>
      <c r="X358" s="184"/>
      <c r="Y358" s="184"/>
      <c r="Z358" s="184"/>
      <c r="AA358" s="184"/>
      <c r="AB358" s="184"/>
      <c r="AC358" s="184"/>
      <c r="AD358" s="184"/>
      <c r="AE358" s="184"/>
      <c r="AF358" s="184"/>
      <c r="AG358" s="184"/>
      <c r="AH358" s="184"/>
      <c r="AI358" s="185"/>
      <c r="AJ358" s="185"/>
      <c r="AK358" s="185"/>
      <c r="AL358" s="185"/>
      <c r="AM358" s="185"/>
      <c r="AN358" s="185"/>
      <c r="AO358" s="209"/>
      <c r="AP358" s="185"/>
      <c r="AQ358" s="185"/>
      <c r="AR358" s="185"/>
      <c r="AS358" s="210"/>
      <c r="AT358" s="176"/>
      <c r="AU358" s="176"/>
      <c r="AV358" s="176"/>
      <c r="AW358" s="176"/>
      <c r="AX358" s="176"/>
      <c r="AY358" s="176"/>
      <c r="AZ358" s="176"/>
      <c r="BA358" s="176"/>
      <c r="BB358" s="176"/>
      <c r="BC358" s="176"/>
      <c r="BD358" s="176"/>
      <c r="BE358" s="176"/>
      <c r="BF358" s="176"/>
      <c r="BG358" s="176"/>
      <c r="BH358" s="176"/>
      <c r="BI358" s="176"/>
      <c r="BJ358" s="176"/>
      <c r="BK358" s="211"/>
      <c r="BL358" s="211"/>
      <c r="BM358" s="184"/>
      <c r="BN358" s="184"/>
      <c r="BO358" s="184"/>
      <c r="BP358" s="184"/>
      <c r="BQ358" s="184"/>
      <c r="BR358" s="184"/>
      <c r="BS358" s="184"/>
      <c r="BT358" s="184"/>
      <c r="BU358" s="184"/>
    </row>
    <row r="359" spans="3:73" s="759" customFormat="1" ht="15">
      <c r="C359" s="760"/>
      <c r="G359" s="763"/>
      <c r="K359" s="762"/>
      <c r="O359" s="763"/>
      <c r="X359" s="184"/>
      <c r="Y359" s="184"/>
      <c r="Z359" s="184"/>
      <c r="AA359" s="184"/>
      <c r="AB359" s="184"/>
      <c r="AC359" s="184"/>
      <c r="AD359" s="184"/>
      <c r="AE359" s="184"/>
      <c r="AF359" s="184"/>
      <c r="AG359" s="184"/>
      <c r="AH359" s="184"/>
      <c r="AI359" s="185"/>
      <c r="AJ359" s="185"/>
      <c r="AK359" s="185"/>
      <c r="AL359" s="185"/>
      <c r="AM359" s="185"/>
      <c r="AN359" s="185"/>
      <c r="AO359" s="209"/>
      <c r="AP359" s="185"/>
      <c r="AQ359" s="185"/>
      <c r="AR359" s="185"/>
      <c r="AS359" s="210"/>
      <c r="AT359" s="176"/>
      <c r="AU359" s="176"/>
      <c r="AV359" s="176"/>
      <c r="AW359" s="176"/>
      <c r="AX359" s="176"/>
      <c r="AY359" s="176"/>
      <c r="AZ359" s="176"/>
      <c r="BA359" s="176"/>
      <c r="BB359" s="176"/>
      <c r="BC359" s="176"/>
      <c r="BD359" s="176"/>
      <c r="BE359" s="176"/>
      <c r="BF359" s="176"/>
      <c r="BG359" s="176"/>
      <c r="BH359" s="176"/>
      <c r="BI359" s="176"/>
      <c r="BJ359" s="176"/>
      <c r="BK359" s="211"/>
      <c r="BL359" s="211"/>
      <c r="BM359" s="184"/>
      <c r="BN359" s="184"/>
      <c r="BO359" s="184"/>
      <c r="BP359" s="184"/>
      <c r="BQ359" s="184"/>
      <c r="BR359" s="184"/>
      <c r="BS359" s="184"/>
      <c r="BT359" s="184"/>
      <c r="BU359" s="184"/>
    </row>
    <row r="360" spans="3:73" s="759" customFormat="1" ht="15">
      <c r="C360" s="760"/>
      <c r="G360" s="763"/>
      <c r="K360" s="762"/>
      <c r="O360" s="763"/>
      <c r="X360" s="184"/>
      <c r="Y360" s="184"/>
      <c r="Z360" s="184"/>
      <c r="AA360" s="184"/>
      <c r="AB360" s="184"/>
      <c r="AC360" s="184"/>
      <c r="AD360" s="184"/>
      <c r="AE360" s="184"/>
      <c r="AF360" s="184"/>
      <c r="AG360" s="184"/>
      <c r="AH360" s="184"/>
      <c r="AI360" s="185"/>
      <c r="AJ360" s="185"/>
      <c r="AK360" s="185"/>
      <c r="AL360" s="185"/>
      <c r="AM360" s="185"/>
      <c r="AN360" s="185"/>
      <c r="AO360" s="209"/>
      <c r="AP360" s="185"/>
      <c r="AQ360" s="185"/>
      <c r="AR360" s="185"/>
      <c r="AS360" s="210"/>
      <c r="AT360" s="176"/>
      <c r="AU360" s="176"/>
      <c r="AV360" s="176"/>
      <c r="AW360" s="176"/>
      <c r="AX360" s="176"/>
      <c r="AY360" s="176"/>
      <c r="AZ360" s="176"/>
      <c r="BA360" s="176"/>
      <c r="BB360" s="176"/>
      <c r="BC360" s="176"/>
      <c r="BD360" s="176"/>
      <c r="BE360" s="176"/>
      <c r="BF360" s="176"/>
      <c r="BG360" s="176"/>
      <c r="BH360" s="176"/>
      <c r="BI360" s="176"/>
      <c r="BJ360" s="176"/>
      <c r="BK360" s="211"/>
      <c r="BL360" s="211"/>
      <c r="BM360" s="184"/>
      <c r="BN360" s="184"/>
      <c r="BO360" s="184"/>
      <c r="BP360" s="184"/>
      <c r="BQ360" s="184"/>
      <c r="BR360" s="184"/>
      <c r="BS360" s="184"/>
      <c r="BT360" s="184"/>
      <c r="BU360" s="184"/>
    </row>
    <row r="361" spans="3:73" s="759" customFormat="1" ht="15">
      <c r="C361" s="760"/>
      <c r="G361" s="763"/>
      <c r="K361" s="762"/>
      <c r="O361" s="763"/>
      <c r="X361" s="184"/>
      <c r="Y361" s="184"/>
      <c r="Z361" s="184"/>
      <c r="AA361" s="184"/>
      <c r="AB361" s="184"/>
      <c r="AC361" s="184"/>
      <c r="AD361" s="184"/>
      <c r="AE361" s="184"/>
      <c r="AF361" s="184"/>
      <c r="AG361" s="184"/>
      <c r="AH361" s="184"/>
      <c r="AI361" s="185"/>
      <c r="AJ361" s="185"/>
      <c r="AK361" s="185"/>
      <c r="AL361" s="185"/>
      <c r="AM361" s="185"/>
      <c r="AN361" s="185"/>
      <c r="AO361" s="209"/>
      <c r="AP361" s="185"/>
      <c r="AQ361" s="185"/>
      <c r="AR361" s="185"/>
      <c r="AS361" s="210"/>
      <c r="AT361" s="176"/>
      <c r="AU361" s="176"/>
      <c r="AV361" s="176"/>
      <c r="AW361" s="176"/>
      <c r="AX361" s="176"/>
      <c r="AY361" s="176"/>
      <c r="AZ361" s="176"/>
      <c r="BA361" s="176"/>
      <c r="BB361" s="176"/>
      <c r="BC361" s="176"/>
      <c r="BD361" s="176"/>
      <c r="BE361" s="176"/>
      <c r="BF361" s="176"/>
      <c r="BG361" s="176"/>
      <c r="BH361" s="176"/>
      <c r="BI361" s="176"/>
      <c r="BJ361" s="176"/>
      <c r="BK361" s="211"/>
      <c r="BL361" s="211"/>
      <c r="BM361" s="184"/>
      <c r="BN361" s="184"/>
      <c r="BO361" s="184"/>
      <c r="BP361" s="184"/>
      <c r="BQ361" s="184"/>
      <c r="BR361" s="184"/>
      <c r="BS361" s="184"/>
      <c r="BT361" s="184"/>
      <c r="BU361" s="184"/>
    </row>
    <row r="362" spans="3:73" s="759" customFormat="1" ht="15">
      <c r="C362" s="760"/>
      <c r="G362" s="763"/>
      <c r="K362" s="762"/>
      <c r="O362" s="763"/>
      <c r="X362" s="184"/>
      <c r="Y362" s="184"/>
      <c r="Z362" s="184"/>
      <c r="AA362" s="184"/>
      <c r="AB362" s="184"/>
      <c r="AC362" s="184"/>
      <c r="AD362" s="184"/>
      <c r="AE362" s="184"/>
      <c r="AF362" s="184"/>
      <c r="AG362" s="184"/>
      <c r="AH362" s="184"/>
      <c r="AI362" s="185"/>
      <c r="AJ362" s="185"/>
      <c r="AK362" s="185"/>
      <c r="AL362" s="185"/>
      <c r="AM362" s="185"/>
      <c r="AN362" s="185"/>
      <c r="AO362" s="209"/>
      <c r="AP362" s="185"/>
      <c r="AQ362" s="185"/>
      <c r="AR362" s="185"/>
      <c r="AS362" s="210"/>
      <c r="AT362" s="176"/>
      <c r="AU362" s="176"/>
      <c r="AV362" s="176"/>
      <c r="AW362" s="176"/>
      <c r="AX362" s="176"/>
      <c r="AY362" s="176"/>
      <c r="AZ362" s="176"/>
      <c r="BA362" s="176"/>
      <c r="BB362" s="176"/>
      <c r="BC362" s="176"/>
      <c r="BD362" s="176"/>
      <c r="BE362" s="176"/>
      <c r="BF362" s="176"/>
      <c r="BG362" s="176"/>
      <c r="BH362" s="176"/>
      <c r="BI362" s="176"/>
      <c r="BJ362" s="176"/>
      <c r="BK362" s="211"/>
      <c r="BL362" s="211"/>
      <c r="BM362" s="184"/>
      <c r="BN362" s="184"/>
      <c r="BO362" s="184"/>
      <c r="BP362" s="184"/>
      <c r="BQ362" s="184"/>
      <c r="BR362" s="184"/>
      <c r="BS362" s="184"/>
      <c r="BT362" s="184"/>
      <c r="BU362" s="184"/>
    </row>
    <row r="363" spans="3:73" s="759" customFormat="1" ht="15">
      <c r="C363" s="760"/>
      <c r="G363" s="763"/>
      <c r="K363" s="762"/>
      <c r="O363" s="763"/>
      <c r="X363" s="184"/>
      <c r="Y363" s="184"/>
      <c r="Z363" s="184"/>
      <c r="AA363" s="184"/>
      <c r="AB363" s="184"/>
      <c r="AC363" s="184"/>
      <c r="AD363" s="184"/>
      <c r="AE363" s="184"/>
      <c r="AF363" s="184"/>
      <c r="AG363" s="184"/>
      <c r="AH363" s="184"/>
      <c r="AI363" s="185"/>
      <c r="AJ363" s="185"/>
      <c r="AK363" s="185"/>
      <c r="AL363" s="185"/>
      <c r="AM363" s="185"/>
      <c r="AN363" s="185"/>
      <c r="AO363" s="209"/>
      <c r="AP363" s="185"/>
      <c r="AQ363" s="185"/>
      <c r="AR363" s="185"/>
      <c r="AS363" s="210"/>
      <c r="AT363" s="176"/>
      <c r="AU363" s="176"/>
      <c r="AV363" s="176"/>
      <c r="AW363" s="176"/>
      <c r="AX363" s="176"/>
      <c r="AY363" s="176"/>
      <c r="AZ363" s="176"/>
      <c r="BA363" s="176"/>
      <c r="BB363" s="176"/>
      <c r="BC363" s="176"/>
      <c r="BD363" s="176"/>
      <c r="BE363" s="176"/>
      <c r="BF363" s="176"/>
      <c r="BG363" s="176"/>
      <c r="BH363" s="176"/>
      <c r="BI363" s="176"/>
      <c r="BJ363" s="176"/>
      <c r="BK363" s="211"/>
      <c r="BL363" s="211"/>
      <c r="BM363" s="184"/>
      <c r="BN363" s="184"/>
      <c r="BO363" s="184"/>
      <c r="BP363" s="184"/>
      <c r="BQ363" s="184"/>
      <c r="BR363" s="184"/>
      <c r="BS363" s="184"/>
      <c r="BT363" s="184"/>
      <c r="BU363" s="184"/>
    </row>
    <row r="364" spans="3:73" s="759" customFormat="1" ht="15">
      <c r="C364" s="760"/>
      <c r="G364" s="763"/>
      <c r="K364" s="762"/>
      <c r="O364" s="763"/>
      <c r="X364" s="184"/>
      <c r="Y364" s="184"/>
      <c r="Z364" s="184"/>
      <c r="AA364" s="184"/>
      <c r="AB364" s="184"/>
      <c r="AC364" s="184"/>
      <c r="AD364" s="184"/>
      <c r="AE364" s="184"/>
      <c r="AF364" s="184"/>
      <c r="AG364" s="184"/>
      <c r="AH364" s="184"/>
      <c r="AI364" s="185"/>
      <c r="AJ364" s="185"/>
      <c r="AK364" s="185"/>
      <c r="AL364" s="185"/>
      <c r="AM364" s="185"/>
      <c r="AN364" s="185"/>
      <c r="AO364" s="209"/>
      <c r="AP364" s="185"/>
      <c r="AQ364" s="185"/>
      <c r="AR364" s="185"/>
      <c r="AS364" s="210"/>
      <c r="AT364" s="176"/>
      <c r="AU364" s="176"/>
      <c r="AV364" s="176"/>
      <c r="AW364" s="176"/>
      <c r="AX364" s="176"/>
      <c r="AY364" s="176"/>
      <c r="AZ364" s="176"/>
      <c r="BA364" s="176"/>
      <c r="BB364" s="176"/>
      <c r="BC364" s="176"/>
      <c r="BD364" s="176"/>
      <c r="BE364" s="176"/>
      <c r="BF364" s="176"/>
      <c r="BG364" s="176"/>
      <c r="BH364" s="176"/>
      <c r="BI364" s="176"/>
      <c r="BJ364" s="176"/>
      <c r="BK364" s="211"/>
      <c r="BL364" s="211"/>
      <c r="BM364" s="184"/>
      <c r="BN364" s="184"/>
      <c r="BO364" s="184"/>
      <c r="BP364" s="184"/>
      <c r="BQ364" s="184"/>
      <c r="BR364" s="184"/>
      <c r="BS364" s="184"/>
      <c r="BT364" s="184"/>
      <c r="BU364" s="184"/>
    </row>
    <row r="365" spans="3:73" s="759" customFormat="1" ht="15">
      <c r="C365" s="760"/>
      <c r="G365" s="763"/>
      <c r="K365" s="762"/>
      <c r="O365" s="763"/>
      <c r="X365" s="184"/>
      <c r="Y365" s="184"/>
      <c r="Z365" s="184"/>
      <c r="AA365" s="184"/>
      <c r="AB365" s="184"/>
      <c r="AC365" s="184"/>
      <c r="AD365" s="184"/>
      <c r="AE365" s="184"/>
      <c r="AF365" s="184"/>
      <c r="AG365" s="184"/>
      <c r="AH365" s="184"/>
      <c r="AI365" s="185"/>
      <c r="AJ365" s="185"/>
      <c r="AK365" s="185"/>
      <c r="AL365" s="185"/>
      <c r="AM365" s="185"/>
      <c r="AN365" s="185"/>
      <c r="AO365" s="209"/>
      <c r="AP365" s="185"/>
      <c r="AQ365" s="185"/>
      <c r="AR365" s="185"/>
      <c r="AS365" s="210"/>
      <c r="AT365" s="176"/>
      <c r="AU365" s="176"/>
      <c r="AV365" s="176"/>
      <c r="AW365" s="176"/>
      <c r="AX365" s="176"/>
      <c r="AY365" s="176"/>
      <c r="AZ365" s="176"/>
      <c r="BA365" s="176"/>
      <c r="BB365" s="176"/>
      <c r="BC365" s="176"/>
      <c r="BD365" s="176"/>
      <c r="BE365" s="176"/>
      <c r="BF365" s="176"/>
      <c r="BG365" s="176"/>
      <c r="BH365" s="176"/>
      <c r="BI365" s="176"/>
      <c r="BJ365" s="176"/>
      <c r="BK365" s="211"/>
      <c r="BL365" s="211"/>
      <c r="BM365" s="184"/>
      <c r="BN365" s="184"/>
      <c r="BO365" s="184"/>
      <c r="BP365" s="184"/>
      <c r="BQ365" s="184"/>
      <c r="BR365" s="184"/>
      <c r="BS365" s="184"/>
      <c r="BT365" s="184"/>
      <c r="BU365" s="184"/>
    </row>
    <row r="366" spans="3:73" s="759" customFormat="1" ht="15">
      <c r="C366" s="760"/>
      <c r="G366" s="763"/>
      <c r="K366" s="762"/>
      <c r="O366" s="763"/>
      <c r="X366" s="184"/>
      <c r="Y366" s="184"/>
      <c r="Z366" s="184"/>
      <c r="AA366" s="184"/>
      <c r="AB366" s="184"/>
      <c r="AC366" s="184"/>
      <c r="AD366" s="184"/>
      <c r="AE366" s="184"/>
      <c r="AF366" s="184"/>
      <c r="AG366" s="184"/>
      <c r="AH366" s="184"/>
      <c r="AI366" s="185"/>
      <c r="AJ366" s="185"/>
      <c r="AK366" s="185"/>
      <c r="AL366" s="185"/>
      <c r="AM366" s="185"/>
      <c r="AN366" s="185"/>
      <c r="AO366" s="209"/>
      <c r="AP366" s="185"/>
      <c r="AQ366" s="185"/>
      <c r="AR366" s="185"/>
      <c r="AS366" s="210"/>
      <c r="AT366" s="176"/>
      <c r="AU366" s="176"/>
      <c r="AV366" s="176"/>
      <c r="AW366" s="176"/>
      <c r="AX366" s="176"/>
      <c r="AY366" s="176"/>
      <c r="AZ366" s="176"/>
      <c r="BA366" s="176"/>
      <c r="BB366" s="176"/>
      <c r="BC366" s="176"/>
      <c r="BD366" s="176"/>
      <c r="BE366" s="176"/>
      <c r="BF366" s="176"/>
      <c r="BG366" s="176"/>
      <c r="BH366" s="176"/>
      <c r="BI366" s="176"/>
      <c r="BJ366" s="176"/>
      <c r="BK366" s="211"/>
      <c r="BL366" s="211"/>
      <c r="BM366" s="184"/>
      <c r="BN366" s="184"/>
      <c r="BO366" s="184"/>
      <c r="BP366" s="184"/>
      <c r="BQ366" s="184"/>
      <c r="BR366" s="184"/>
      <c r="BS366" s="184"/>
      <c r="BT366" s="184"/>
      <c r="BU366" s="184"/>
    </row>
    <row r="367" spans="3:73" s="759" customFormat="1" ht="15">
      <c r="C367" s="760"/>
      <c r="G367" s="763"/>
      <c r="K367" s="762"/>
      <c r="O367" s="763"/>
      <c r="X367" s="184"/>
      <c r="Y367" s="184"/>
      <c r="Z367" s="184"/>
      <c r="AA367" s="184"/>
      <c r="AB367" s="184"/>
      <c r="AC367" s="184"/>
      <c r="AD367" s="184"/>
      <c r="AE367" s="184"/>
      <c r="AF367" s="184"/>
      <c r="AG367" s="184"/>
      <c r="AH367" s="184"/>
      <c r="AI367" s="185"/>
      <c r="AJ367" s="185"/>
      <c r="AK367" s="185"/>
      <c r="AL367" s="185"/>
      <c r="AM367" s="185"/>
      <c r="AN367" s="185"/>
      <c r="AO367" s="209"/>
      <c r="AP367" s="185"/>
      <c r="AQ367" s="185"/>
      <c r="AR367" s="185"/>
      <c r="AS367" s="210"/>
      <c r="AT367" s="176"/>
      <c r="AU367" s="176"/>
      <c r="AV367" s="176"/>
      <c r="AW367" s="176"/>
      <c r="AX367" s="176"/>
      <c r="AY367" s="176"/>
      <c r="AZ367" s="176"/>
      <c r="BA367" s="176"/>
      <c r="BB367" s="176"/>
      <c r="BC367" s="176"/>
      <c r="BD367" s="176"/>
      <c r="BE367" s="176"/>
      <c r="BF367" s="176"/>
      <c r="BG367" s="176"/>
      <c r="BH367" s="176"/>
      <c r="BI367" s="176"/>
      <c r="BJ367" s="176"/>
      <c r="BK367" s="211"/>
      <c r="BL367" s="211"/>
      <c r="BM367" s="184"/>
      <c r="BN367" s="184"/>
      <c r="BO367" s="184"/>
      <c r="BP367" s="184"/>
      <c r="BQ367" s="184"/>
      <c r="BR367" s="184"/>
      <c r="BS367" s="184"/>
      <c r="BT367" s="184"/>
      <c r="BU367" s="184"/>
    </row>
    <row r="368" spans="3:73" s="759" customFormat="1" ht="15">
      <c r="C368" s="760"/>
      <c r="G368" s="763"/>
      <c r="K368" s="762"/>
      <c r="O368" s="763"/>
      <c r="X368" s="184"/>
      <c r="Y368" s="184"/>
      <c r="Z368" s="184"/>
      <c r="AA368" s="184"/>
      <c r="AB368" s="184"/>
      <c r="AC368" s="184"/>
      <c r="AD368" s="184"/>
      <c r="AE368" s="184"/>
      <c r="AF368" s="184"/>
      <c r="AG368" s="184"/>
      <c r="AH368" s="184"/>
      <c r="AI368" s="185"/>
      <c r="AJ368" s="185"/>
      <c r="AK368" s="185"/>
      <c r="AL368" s="185"/>
      <c r="AM368" s="185"/>
      <c r="AN368" s="185"/>
      <c r="AO368" s="209"/>
      <c r="AP368" s="185"/>
      <c r="AQ368" s="185"/>
      <c r="AR368" s="185"/>
      <c r="AS368" s="210"/>
      <c r="AT368" s="176"/>
      <c r="AU368" s="176"/>
      <c r="AV368" s="176"/>
      <c r="AW368" s="176"/>
      <c r="AX368" s="176"/>
      <c r="AY368" s="176"/>
      <c r="AZ368" s="176"/>
      <c r="BA368" s="176"/>
      <c r="BB368" s="176"/>
      <c r="BC368" s="176"/>
      <c r="BD368" s="176"/>
      <c r="BE368" s="176"/>
      <c r="BF368" s="176"/>
      <c r="BG368" s="176"/>
      <c r="BH368" s="176"/>
      <c r="BI368" s="176"/>
      <c r="BJ368" s="176"/>
      <c r="BK368" s="211"/>
      <c r="BL368" s="211"/>
      <c r="BM368" s="184"/>
      <c r="BN368" s="184"/>
      <c r="BO368" s="184"/>
      <c r="BP368" s="184"/>
      <c r="BQ368" s="184"/>
      <c r="BR368" s="184"/>
      <c r="BS368" s="184"/>
      <c r="BT368" s="184"/>
      <c r="BU368" s="184"/>
    </row>
    <row r="369" spans="3:73" s="759" customFormat="1" ht="15">
      <c r="C369" s="760"/>
      <c r="G369" s="763"/>
      <c r="K369" s="762"/>
      <c r="O369" s="763"/>
      <c r="X369" s="184"/>
      <c r="Y369" s="184"/>
      <c r="Z369" s="184"/>
      <c r="AA369" s="184"/>
      <c r="AB369" s="184"/>
      <c r="AC369" s="184"/>
      <c r="AD369" s="184"/>
      <c r="AE369" s="184"/>
      <c r="AF369" s="184"/>
      <c r="AG369" s="184"/>
      <c r="AH369" s="184"/>
      <c r="AI369" s="185"/>
      <c r="AJ369" s="185"/>
      <c r="AK369" s="185"/>
      <c r="AL369" s="185"/>
      <c r="AM369" s="185"/>
      <c r="AN369" s="185"/>
      <c r="AO369" s="209"/>
      <c r="AP369" s="185"/>
      <c r="AQ369" s="185"/>
      <c r="AR369" s="185"/>
      <c r="AS369" s="210"/>
      <c r="AT369" s="176"/>
      <c r="AU369" s="176"/>
      <c r="AV369" s="176"/>
      <c r="AW369" s="176"/>
      <c r="AX369" s="176"/>
      <c r="AY369" s="176"/>
      <c r="AZ369" s="176"/>
      <c r="BA369" s="176"/>
      <c r="BB369" s="176"/>
      <c r="BC369" s="176"/>
      <c r="BD369" s="176"/>
      <c r="BE369" s="176"/>
      <c r="BF369" s="176"/>
      <c r="BG369" s="176"/>
      <c r="BH369" s="176"/>
      <c r="BI369" s="176"/>
      <c r="BJ369" s="176"/>
      <c r="BK369" s="211"/>
      <c r="BL369" s="211"/>
      <c r="BM369" s="184"/>
      <c r="BN369" s="184"/>
      <c r="BO369" s="184"/>
      <c r="BP369" s="184"/>
      <c r="BQ369" s="184"/>
      <c r="BR369" s="184"/>
      <c r="BS369" s="184"/>
      <c r="BT369" s="184"/>
      <c r="BU369" s="184"/>
    </row>
    <row r="370" spans="3:73" s="759" customFormat="1" ht="15">
      <c r="C370" s="760"/>
      <c r="G370" s="763"/>
      <c r="K370" s="762"/>
      <c r="O370" s="763"/>
      <c r="X370" s="184"/>
      <c r="Y370" s="184"/>
      <c r="Z370" s="184"/>
      <c r="AA370" s="184"/>
      <c r="AB370" s="184"/>
      <c r="AC370" s="184"/>
      <c r="AD370" s="184"/>
      <c r="AE370" s="184"/>
      <c r="AF370" s="184"/>
      <c r="AG370" s="184"/>
      <c r="AH370" s="184"/>
      <c r="AI370" s="185"/>
      <c r="AJ370" s="185"/>
      <c r="AK370" s="185"/>
      <c r="AL370" s="185"/>
      <c r="AM370" s="185"/>
      <c r="AN370" s="185"/>
      <c r="AO370" s="209"/>
      <c r="AP370" s="185"/>
      <c r="AQ370" s="185"/>
      <c r="AR370" s="185"/>
      <c r="AS370" s="210"/>
      <c r="AT370" s="176"/>
      <c r="AU370" s="176"/>
      <c r="AV370" s="176"/>
      <c r="AW370" s="176"/>
      <c r="AX370" s="176"/>
      <c r="AY370" s="176"/>
      <c r="AZ370" s="176"/>
      <c r="BA370" s="176"/>
      <c r="BB370" s="176"/>
      <c r="BC370" s="176"/>
      <c r="BD370" s="176"/>
      <c r="BE370" s="176"/>
      <c r="BF370" s="176"/>
      <c r="BG370" s="176"/>
      <c r="BH370" s="176"/>
      <c r="BI370" s="176"/>
      <c r="BJ370" s="176"/>
      <c r="BK370" s="211"/>
      <c r="BL370" s="211"/>
      <c r="BM370" s="184"/>
      <c r="BN370" s="184"/>
      <c r="BO370" s="184"/>
      <c r="BP370" s="184"/>
      <c r="BQ370" s="184"/>
      <c r="BR370" s="184"/>
      <c r="BS370" s="184"/>
      <c r="BT370" s="184"/>
      <c r="BU370" s="184"/>
    </row>
    <row r="371" spans="3:73" s="759" customFormat="1" ht="15">
      <c r="C371" s="760"/>
      <c r="G371" s="763"/>
      <c r="K371" s="762"/>
      <c r="O371" s="763"/>
      <c r="X371" s="184"/>
      <c r="Y371" s="184"/>
      <c r="Z371" s="184"/>
      <c r="AA371" s="184"/>
      <c r="AB371" s="184"/>
      <c r="AC371" s="184"/>
      <c r="AD371" s="184"/>
      <c r="AE371" s="184"/>
      <c r="AF371" s="184"/>
      <c r="AG371" s="184"/>
      <c r="AH371" s="184"/>
      <c r="AI371" s="185"/>
      <c r="AJ371" s="185"/>
      <c r="AK371" s="185"/>
      <c r="AL371" s="185"/>
      <c r="AM371" s="185"/>
      <c r="AN371" s="185"/>
      <c r="AO371" s="209"/>
      <c r="AP371" s="185"/>
      <c r="AQ371" s="185"/>
      <c r="AR371" s="185"/>
      <c r="AS371" s="210"/>
      <c r="AT371" s="176"/>
      <c r="AU371" s="176"/>
      <c r="AV371" s="176"/>
      <c r="AW371" s="176"/>
      <c r="AX371" s="176"/>
      <c r="AY371" s="176"/>
      <c r="AZ371" s="176"/>
      <c r="BA371" s="176"/>
      <c r="BB371" s="176"/>
      <c r="BC371" s="176"/>
      <c r="BD371" s="176"/>
      <c r="BE371" s="176"/>
      <c r="BF371" s="176"/>
      <c r="BG371" s="176"/>
      <c r="BH371" s="176"/>
      <c r="BI371" s="176"/>
      <c r="BJ371" s="176"/>
      <c r="BK371" s="211"/>
      <c r="BL371" s="211"/>
      <c r="BM371" s="184"/>
      <c r="BN371" s="184"/>
      <c r="BO371" s="184"/>
      <c r="BP371" s="184"/>
      <c r="BQ371" s="184"/>
      <c r="BR371" s="184"/>
      <c r="BS371" s="184"/>
      <c r="BT371" s="184"/>
      <c r="BU371" s="184"/>
    </row>
    <row r="372" spans="3:73" s="759" customFormat="1" ht="15">
      <c r="C372" s="760"/>
      <c r="G372" s="763"/>
      <c r="K372" s="762"/>
      <c r="O372" s="763"/>
      <c r="X372" s="184"/>
      <c r="Y372" s="184"/>
      <c r="Z372" s="184"/>
      <c r="AA372" s="184"/>
      <c r="AB372" s="184"/>
      <c r="AC372" s="184"/>
      <c r="AD372" s="184"/>
      <c r="AE372" s="184"/>
      <c r="AF372" s="184"/>
      <c r="AG372" s="184"/>
      <c r="AH372" s="184"/>
      <c r="AI372" s="185"/>
      <c r="AJ372" s="185"/>
      <c r="AK372" s="185"/>
      <c r="AL372" s="185"/>
      <c r="AM372" s="185"/>
      <c r="AN372" s="185"/>
      <c r="AO372" s="209"/>
      <c r="AP372" s="185"/>
      <c r="AQ372" s="185"/>
      <c r="AR372" s="185"/>
      <c r="AS372" s="210"/>
      <c r="AT372" s="176"/>
      <c r="AU372" s="176"/>
      <c r="AV372" s="176"/>
      <c r="AW372" s="176"/>
      <c r="AX372" s="176"/>
      <c r="AY372" s="176"/>
      <c r="AZ372" s="176"/>
      <c r="BA372" s="176"/>
      <c r="BB372" s="176"/>
      <c r="BC372" s="176"/>
      <c r="BD372" s="176"/>
      <c r="BE372" s="176"/>
      <c r="BF372" s="176"/>
      <c r="BG372" s="176"/>
      <c r="BH372" s="176"/>
      <c r="BI372" s="176"/>
      <c r="BJ372" s="176"/>
      <c r="BK372" s="211"/>
      <c r="BL372" s="211"/>
      <c r="BM372" s="184"/>
      <c r="BN372" s="184"/>
      <c r="BO372" s="184"/>
      <c r="BP372" s="184"/>
      <c r="BQ372" s="184"/>
      <c r="BR372" s="184"/>
      <c r="BS372" s="184"/>
      <c r="BT372" s="184"/>
      <c r="BU372" s="184"/>
    </row>
    <row r="373" spans="3:73" s="759" customFormat="1" ht="15">
      <c r="C373" s="760"/>
      <c r="G373" s="763"/>
      <c r="K373" s="762"/>
      <c r="O373" s="763"/>
      <c r="X373" s="184"/>
      <c r="Y373" s="184"/>
      <c r="Z373" s="184"/>
      <c r="AA373" s="184"/>
      <c r="AB373" s="184"/>
      <c r="AC373" s="184"/>
      <c r="AD373" s="184"/>
      <c r="AE373" s="184"/>
      <c r="AF373" s="184"/>
      <c r="AG373" s="184"/>
      <c r="AH373" s="184"/>
      <c r="AI373" s="185"/>
      <c r="AJ373" s="185"/>
      <c r="AK373" s="185"/>
      <c r="AL373" s="185"/>
      <c r="AM373" s="185"/>
      <c r="AN373" s="185"/>
      <c r="AO373" s="209"/>
      <c r="AP373" s="185"/>
      <c r="AQ373" s="185"/>
      <c r="AR373" s="185"/>
      <c r="AS373" s="210"/>
      <c r="AT373" s="176"/>
      <c r="AU373" s="176"/>
      <c r="AV373" s="176"/>
      <c r="AW373" s="176"/>
      <c r="AX373" s="176"/>
      <c r="AY373" s="176"/>
      <c r="AZ373" s="176"/>
      <c r="BA373" s="176"/>
      <c r="BB373" s="176"/>
      <c r="BC373" s="176"/>
      <c r="BD373" s="176"/>
      <c r="BE373" s="176"/>
      <c r="BF373" s="176"/>
      <c r="BG373" s="176"/>
      <c r="BH373" s="176"/>
      <c r="BI373" s="176"/>
      <c r="BJ373" s="176"/>
      <c r="BK373" s="211"/>
      <c r="BL373" s="211"/>
      <c r="BM373" s="184"/>
      <c r="BN373" s="184"/>
      <c r="BO373" s="184"/>
      <c r="BP373" s="184"/>
      <c r="BQ373" s="184"/>
      <c r="BR373" s="184"/>
      <c r="BS373" s="184"/>
      <c r="BT373" s="184"/>
      <c r="BU373" s="184"/>
    </row>
    <row r="374" spans="3:73" s="759" customFormat="1" ht="15">
      <c r="C374" s="760"/>
      <c r="G374" s="763"/>
      <c r="K374" s="762"/>
      <c r="O374" s="763"/>
      <c r="X374" s="184"/>
      <c r="Y374" s="184"/>
      <c r="Z374" s="184"/>
      <c r="AA374" s="184"/>
      <c r="AB374" s="184"/>
      <c r="AC374" s="184"/>
      <c r="AD374" s="184"/>
      <c r="AE374" s="184"/>
      <c r="AF374" s="184"/>
      <c r="AG374" s="184"/>
      <c r="AH374" s="184"/>
      <c r="AI374" s="185"/>
      <c r="AJ374" s="185"/>
      <c r="AK374" s="185"/>
      <c r="AL374" s="185"/>
      <c r="AM374" s="185"/>
      <c r="AN374" s="185"/>
      <c r="AO374" s="209"/>
      <c r="AP374" s="185"/>
      <c r="AQ374" s="185"/>
      <c r="AR374" s="185"/>
      <c r="AS374" s="210"/>
      <c r="AT374" s="176"/>
      <c r="AU374" s="176"/>
      <c r="AV374" s="176"/>
      <c r="AW374" s="176"/>
      <c r="AX374" s="176"/>
      <c r="AY374" s="176"/>
      <c r="AZ374" s="176"/>
      <c r="BA374" s="176"/>
      <c r="BB374" s="176"/>
      <c r="BC374" s="176"/>
      <c r="BD374" s="176"/>
      <c r="BE374" s="176"/>
      <c r="BF374" s="176"/>
      <c r="BG374" s="176"/>
      <c r="BH374" s="176"/>
      <c r="BI374" s="176"/>
      <c r="BJ374" s="176"/>
      <c r="BK374" s="211"/>
      <c r="BL374" s="211"/>
      <c r="BM374" s="184"/>
      <c r="BN374" s="184"/>
      <c r="BO374" s="184"/>
      <c r="BP374" s="184"/>
      <c r="BQ374" s="184"/>
      <c r="BR374" s="184"/>
      <c r="BS374" s="184"/>
      <c r="BT374" s="184"/>
      <c r="BU374" s="184"/>
    </row>
    <row r="375" spans="3:73" s="759" customFormat="1" ht="15">
      <c r="C375" s="760"/>
      <c r="G375" s="763"/>
      <c r="K375" s="762"/>
      <c r="O375" s="763"/>
      <c r="X375" s="184"/>
      <c r="Y375" s="184"/>
      <c r="Z375" s="184"/>
      <c r="AA375" s="184"/>
      <c r="AB375" s="184"/>
      <c r="AC375" s="184"/>
      <c r="AD375" s="184"/>
      <c r="AE375" s="184"/>
      <c r="AF375" s="184"/>
      <c r="AG375" s="184"/>
      <c r="AH375" s="184"/>
      <c r="AI375" s="185"/>
      <c r="AJ375" s="185"/>
      <c r="AK375" s="185"/>
      <c r="AL375" s="185"/>
      <c r="AM375" s="185"/>
      <c r="AN375" s="185"/>
      <c r="AO375" s="209"/>
      <c r="AP375" s="185"/>
      <c r="AQ375" s="185"/>
      <c r="AR375" s="185"/>
      <c r="AS375" s="210"/>
      <c r="AT375" s="176"/>
      <c r="AU375" s="176"/>
      <c r="AV375" s="176"/>
      <c r="AW375" s="176"/>
      <c r="AX375" s="176"/>
      <c r="AY375" s="176"/>
      <c r="AZ375" s="176"/>
      <c r="BA375" s="176"/>
      <c r="BB375" s="176"/>
      <c r="BC375" s="176"/>
      <c r="BD375" s="176"/>
      <c r="BE375" s="176"/>
      <c r="BF375" s="176"/>
      <c r="BG375" s="176"/>
      <c r="BH375" s="176"/>
      <c r="BI375" s="176"/>
      <c r="BJ375" s="176"/>
      <c r="BK375" s="211"/>
      <c r="BL375" s="211"/>
      <c r="BM375" s="184"/>
      <c r="BN375" s="184"/>
      <c r="BO375" s="184"/>
      <c r="BP375" s="184"/>
      <c r="BQ375" s="184"/>
      <c r="BR375" s="184"/>
      <c r="BS375" s="184"/>
      <c r="BT375" s="184"/>
      <c r="BU375" s="184"/>
    </row>
    <row r="376" spans="3:73" s="759" customFormat="1" ht="15">
      <c r="C376" s="760"/>
      <c r="G376" s="763"/>
      <c r="K376" s="762"/>
      <c r="O376" s="763"/>
      <c r="X376" s="184"/>
      <c r="Y376" s="184"/>
      <c r="Z376" s="184"/>
      <c r="AA376" s="184"/>
      <c r="AB376" s="184"/>
      <c r="AC376" s="184"/>
      <c r="AD376" s="184"/>
      <c r="AE376" s="184"/>
      <c r="AF376" s="184"/>
      <c r="AG376" s="184"/>
      <c r="AH376" s="184"/>
      <c r="AI376" s="185"/>
      <c r="AJ376" s="185"/>
      <c r="AK376" s="185"/>
      <c r="AL376" s="185"/>
      <c r="AM376" s="185"/>
      <c r="AN376" s="185"/>
      <c r="AO376" s="209"/>
      <c r="AP376" s="185"/>
      <c r="AQ376" s="185"/>
      <c r="AR376" s="185"/>
      <c r="AS376" s="210"/>
      <c r="AT376" s="176"/>
      <c r="AU376" s="176"/>
      <c r="AV376" s="176"/>
      <c r="AW376" s="176"/>
      <c r="AX376" s="176"/>
      <c r="AY376" s="176"/>
      <c r="AZ376" s="176"/>
      <c r="BA376" s="176"/>
      <c r="BB376" s="176"/>
      <c r="BC376" s="176"/>
      <c r="BD376" s="176"/>
      <c r="BE376" s="176"/>
      <c r="BF376" s="176"/>
      <c r="BG376" s="176"/>
      <c r="BH376" s="176"/>
      <c r="BI376" s="176"/>
      <c r="BJ376" s="176"/>
      <c r="BK376" s="211"/>
      <c r="BL376" s="211"/>
      <c r="BM376" s="184"/>
      <c r="BN376" s="184"/>
      <c r="BO376" s="184"/>
      <c r="BP376" s="184"/>
      <c r="BQ376" s="184"/>
      <c r="BR376" s="184"/>
      <c r="BS376" s="184"/>
      <c r="BT376" s="184"/>
      <c r="BU376" s="184"/>
    </row>
    <row r="377" spans="3:73" s="759" customFormat="1" ht="15">
      <c r="C377" s="760"/>
      <c r="G377" s="763"/>
      <c r="K377" s="762"/>
      <c r="O377" s="763"/>
      <c r="X377" s="184"/>
      <c r="Y377" s="184"/>
      <c r="Z377" s="184"/>
      <c r="AA377" s="184"/>
      <c r="AB377" s="184"/>
      <c r="AC377" s="184"/>
      <c r="AD377" s="184"/>
      <c r="AE377" s="184"/>
      <c r="AF377" s="184"/>
      <c r="AG377" s="184"/>
      <c r="AH377" s="184"/>
      <c r="AI377" s="185"/>
      <c r="AJ377" s="185"/>
      <c r="AK377" s="185"/>
      <c r="AL377" s="185"/>
      <c r="AM377" s="185"/>
      <c r="AN377" s="185"/>
      <c r="AO377" s="209"/>
      <c r="AP377" s="185"/>
      <c r="AQ377" s="185"/>
      <c r="AR377" s="185"/>
      <c r="AS377" s="210"/>
      <c r="AT377" s="176"/>
      <c r="AU377" s="176"/>
      <c r="AV377" s="176"/>
      <c r="AW377" s="176"/>
      <c r="AX377" s="176"/>
      <c r="AY377" s="176"/>
      <c r="AZ377" s="176"/>
      <c r="BA377" s="176"/>
      <c r="BB377" s="176"/>
      <c r="BC377" s="176"/>
      <c r="BD377" s="176"/>
      <c r="BE377" s="176"/>
      <c r="BF377" s="176"/>
      <c r="BG377" s="176"/>
      <c r="BH377" s="176"/>
      <c r="BI377" s="176"/>
      <c r="BJ377" s="176"/>
      <c r="BK377" s="211"/>
      <c r="BL377" s="211"/>
      <c r="BM377" s="184"/>
      <c r="BN377" s="184"/>
      <c r="BO377" s="184"/>
      <c r="BP377" s="184"/>
      <c r="BQ377" s="184"/>
      <c r="BR377" s="184"/>
      <c r="BS377" s="184"/>
      <c r="BT377" s="184"/>
      <c r="BU377" s="184"/>
    </row>
    <row r="378" spans="3:73" s="759" customFormat="1" ht="15">
      <c r="C378" s="760"/>
      <c r="G378" s="763"/>
      <c r="K378" s="762"/>
      <c r="O378" s="763"/>
      <c r="X378" s="184"/>
      <c r="Y378" s="184"/>
      <c r="Z378" s="184"/>
      <c r="AA378" s="184"/>
      <c r="AB378" s="184"/>
      <c r="AC378" s="184"/>
      <c r="AD378" s="184"/>
      <c r="AE378" s="184"/>
      <c r="AF378" s="184"/>
      <c r="AG378" s="184"/>
      <c r="AH378" s="184"/>
      <c r="AI378" s="185"/>
      <c r="AJ378" s="185"/>
      <c r="AK378" s="185"/>
      <c r="AL378" s="185"/>
      <c r="AM378" s="185"/>
      <c r="AN378" s="185"/>
      <c r="AO378" s="209"/>
      <c r="AP378" s="185"/>
      <c r="AQ378" s="185"/>
      <c r="AR378" s="185"/>
      <c r="AS378" s="210"/>
      <c r="AT378" s="176"/>
      <c r="AU378" s="176"/>
      <c r="AV378" s="176"/>
      <c r="AW378" s="176"/>
      <c r="AX378" s="176"/>
      <c r="AY378" s="176"/>
      <c r="AZ378" s="176"/>
      <c r="BA378" s="176"/>
      <c r="BB378" s="176"/>
      <c r="BC378" s="176"/>
      <c r="BD378" s="176"/>
      <c r="BE378" s="176"/>
      <c r="BF378" s="176"/>
      <c r="BG378" s="176"/>
      <c r="BH378" s="176"/>
      <c r="BI378" s="176"/>
      <c r="BJ378" s="176"/>
      <c r="BK378" s="211"/>
      <c r="BL378" s="211"/>
      <c r="BM378" s="184"/>
      <c r="BN378" s="184"/>
      <c r="BO378" s="184"/>
      <c r="BP378" s="184"/>
      <c r="BQ378" s="184"/>
      <c r="BR378" s="184"/>
      <c r="BS378" s="184"/>
      <c r="BT378" s="184"/>
      <c r="BU378" s="184"/>
    </row>
    <row r="379" spans="3:73" s="759" customFormat="1" ht="15">
      <c r="C379" s="760"/>
      <c r="G379" s="763"/>
      <c r="K379" s="762"/>
      <c r="O379" s="763"/>
      <c r="X379" s="184"/>
      <c r="Y379" s="184"/>
      <c r="Z379" s="184"/>
      <c r="AA379" s="184"/>
      <c r="AB379" s="184"/>
      <c r="AC379" s="184"/>
      <c r="AD379" s="184"/>
      <c r="AE379" s="184"/>
      <c r="AF379" s="184"/>
      <c r="AG379" s="184"/>
      <c r="AH379" s="184"/>
      <c r="AI379" s="185"/>
      <c r="AJ379" s="185"/>
      <c r="AK379" s="185"/>
      <c r="AL379" s="185"/>
      <c r="AM379" s="185"/>
      <c r="AN379" s="185"/>
      <c r="AO379" s="209"/>
      <c r="AP379" s="185"/>
      <c r="AQ379" s="185"/>
      <c r="AR379" s="185"/>
      <c r="AS379" s="210"/>
      <c r="AT379" s="176"/>
      <c r="AU379" s="176"/>
      <c r="AV379" s="176"/>
      <c r="AW379" s="176"/>
      <c r="AX379" s="176"/>
      <c r="AY379" s="176"/>
      <c r="AZ379" s="176"/>
      <c r="BA379" s="176"/>
      <c r="BB379" s="176"/>
      <c r="BC379" s="176"/>
      <c r="BD379" s="176"/>
      <c r="BE379" s="176"/>
      <c r="BF379" s="176"/>
      <c r="BG379" s="176"/>
      <c r="BH379" s="176"/>
      <c r="BI379" s="176"/>
      <c r="BJ379" s="176"/>
      <c r="BK379" s="211"/>
      <c r="BL379" s="211"/>
      <c r="BM379" s="184"/>
      <c r="BN379" s="184"/>
      <c r="BO379" s="184"/>
      <c r="BP379" s="184"/>
      <c r="BQ379" s="184"/>
      <c r="BR379" s="184"/>
      <c r="BS379" s="184"/>
      <c r="BT379" s="184"/>
      <c r="BU379" s="184"/>
    </row>
    <row r="380" spans="3:73" s="759" customFormat="1" ht="15">
      <c r="C380" s="760"/>
      <c r="G380" s="763"/>
      <c r="K380" s="762"/>
      <c r="O380" s="763"/>
      <c r="X380" s="184"/>
      <c r="Y380" s="184"/>
      <c r="Z380" s="184"/>
      <c r="AA380" s="184"/>
      <c r="AB380" s="184"/>
      <c r="AC380" s="184"/>
      <c r="AD380" s="184"/>
      <c r="AE380" s="184"/>
      <c r="AF380" s="184"/>
      <c r="AG380" s="184"/>
      <c r="AH380" s="184"/>
      <c r="AI380" s="185"/>
      <c r="AJ380" s="185"/>
      <c r="AK380" s="185"/>
      <c r="AL380" s="185"/>
      <c r="AM380" s="185"/>
      <c r="AN380" s="185"/>
      <c r="AO380" s="209"/>
      <c r="AP380" s="185"/>
      <c r="AQ380" s="185"/>
      <c r="AR380" s="185"/>
      <c r="AS380" s="210"/>
      <c r="AT380" s="176"/>
      <c r="AU380" s="176"/>
      <c r="AV380" s="176"/>
      <c r="AW380" s="176"/>
      <c r="AX380" s="176"/>
      <c r="AY380" s="176"/>
      <c r="AZ380" s="176"/>
      <c r="BA380" s="176"/>
      <c r="BB380" s="176"/>
      <c r="BC380" s="176"/>
      <c r="BD380" s="176"/>
      <c r="BE380" s="176"/>
      <c r="BF380" s="176"/>
      <c r="BG380" s="176"/>
      <c r="BH380" s="176"/>
      <c r="BI380" s="176"/>
      <c r="BJ380" s="176"/>
      <c r="BK380" s="211"/>
      <c r="BL380" s="211"/>
      <c r="BM380" s="184"/>
      <c r="BN380" s="184"/>
      <c r="BO380" s="184"/>
      <c r="BP380" s="184"/>
      <c r="BQ380" s="184"/>
      <c r="BR380" s="184"/>
      <c r="BS380" s="184"/>
      <c r="BT380" s="184"/>
      <c r="BU380" s="184"/>
    </row>
    <row r="381" spans="3:73" s="759" customFormat="1" ht="15">
      <c r="C381" s="760"/>
      <c r="G381" s="763"/>
      <c r="K381" s="762"/>
      <c r="O381" s="763"/>
      <c r="X381" s="184"/>
      <c r="Y381" s="184"/>
      <c r="Z381" s="184"/>
      <c r="AA381" s="184"/>
      <c r="AB381" s="184"/>
      <c r="AC381" s="184"/>
      <c r="AD381" s="184"/>
      <c r="AE381" s="184"/>
      <c r="AF381" s="184"/>
      <c r="AG381" s="184"/>
      <c r="AH381" s="184"/>
      <c r="AI381" s="185"/>
      <c r="AJ381" s="185"/>
      <c r="AK381" s="185"/>
      <c r="AL381" s="185"/>
      <c r="AM381" s="185"/>
      <c r="AN381" s="185"/>
      <c r="AO381" s="209"/>
      <c r="AP381" s="185"/>
      <c r="AQ381" s="185"/>
      <c r="AR381" s="185"/>
      <c r="AS381" s="210"/>
      <c r="AT381" s="176"/>
      <c r="AU381" s="176"/>
      <c r="AV381" s="176"/>
      <c r="AW381" s="176"/>
      <c r="AX381" s="176"/>
      <c r="AY381" s="176"/>
      <c r="AZ381" s="176"/>
      <c r="BA381" s="176"/>
      <c r="BB381" s="176"/>
      <c r="BC381" s="176"/>
      <c r="BD381" s="176"/>
      <c r="BE381" s="176"/>
      <c r="BF381" s="176"/>
      <c r="BG381" s="176"/>
      <c r="BH381" s="176"/>
      <c r="BI381" s="176"/>
      <c r="BJ381" s="176"/>
      <c r="BK381" s="211"/>
      <c r="BL381" s="211"/>
      <c r="BM381" s="184"/>
      <c r="BN381" s="184"/>
      <c r="BO381" s="184"/>
      <c r="BP381" s="184"/>
      <c r="BQ381" s="184"/>
      <c r="BR381" s="184"/>
      <c r="BS381" s="184"/>
      <c r="BT381" s="184"/>
      <c r="BU381" s="184"/>
    </row>
    <row r="382" spans="3:73" s="759" customFormat="1" ht="15">
      <c r="C382" s="760"/>
      <c r="G382" s="763"/>
      <c r="K382" s="762"/>
      <c r="O382" s="763"/>
      <c r="X382" s="184"/>
      <c r="Y382" s="184"/>
      <c r="Z382" s="184"/>
      <c r="AA382" s="184"/>
      <c r="AB382" s="184"/>
      <c r="AC382" s="184"/>
      <c r="AD382" s="184"/>
      <c r="AE382" s="184"/>
      <c r="AF382" s="184"/>
      <c r="AG382" s="184"/>
      <c r="AH382" s="184"/>
      <c r="AI382" s="185"/>
      <c r="AJ382" s="185"/>
      <c r="AK382" s="185"/>
      <c r="AL382" s="185"/>
      <c r="AM382" s="185"/>
      <c r="AN382" s="185"/>
      <c r="AO382" s="209"/>
      <c r="AP382" s="185"/>
      <c r="AQ382" s="185"/>
      <c r="AR382" s="185"/>
      <c r="AS382" s="210"/>
      <c r="AT382" s="176"/>
      <c r="AU382" s="176"/>
      <c r="AV382" s="176"/>
      <c r="AW382" s="176"/>
      <c r="AX382" s="176"/>
      <c r="AY382" s="176"/>
      <c r="AZ382" s="176"/>
      <c r="BA382" s="176"/>
      <c r="BB382" s="176"/>
      <c r="BC382" s="176"/>
      <c r="BD382" s="176"/>
      <c r="BE382" s="176"/>
      <c r="BF382" s="176"/>
      <c r="BG382" s="176"/>
      <c r="BH382" s="176"/>
      <c r="BI382" s="176"/>
      <c r="BJ382" s="176"/>
      <c r="BK382" s="211"/>
      <c r="BL382" s="211"/>
      <c r="BM382" s="184"/>
      <c r="BN382" s="184"/>
      <c r="BO382" s="184"/>
      <c r="BP382" s="184"/>
      <c r="BQ382" s="184"/>
      <c r="BR382" s="184"/>
      <c r="BS382" s="184"/>
      <c r="BT382" s="184"/>
      <c r="BU382" s="184"/>
    </row>
    <row r="383" spans="3:73" s="759" customFormat="1" ht="15">
      <c r="C383" s="760"/>
      <c r="G383" s="763"/>
      <c r="K383" s="762"/>
      <c r="O383" s="763"/>
      <c r="X383" s="184"/>
      <c r="Y383" s="184"/>
      <c r="Z383" s="184"/>
      <c r="AA383" s="184"/>
      <c r="AB383" s="184"/>
      <c r="AC383" s="184"/>
      <c r="AD383" s="184"/>
      <c r="AE383" s="184"/>
      <c r="AF383" s="184"/>
      <c r="AG383" s="184"/>
      <c r="AH383" s="184"/>
      <c r="AI383" s="185"/>
      <c r="AJ383" s="185"/>
      <c r="AK383" s="185"/>
      <c r="AL383" s="185"/>
      <c r="AM383" s="185"/>
      <c r="AN383" s="185"/>
      <c r="AO383" s="209"/>
      <c r="AP383" s="185"/>
      <c r="AQ383" s="185"/>
      <c r="AR383" s="185"/>
      <c r="AS383" s="210"/>
      <c r="AT383" s="176"/>
      <c r="AU383" s="176"/>
      <c r="AV383" s="176"/>
      <c r="AW383" s="176"/>
      <c r="AX383" s="176"/>
      <c r="AY383" s="176"/>
      <c r="AZ383" s="176"/>
      <c r="BA383" s="176"/>
      <c r="BB383" s="176"/>
      <c r="BC383" s="176"/>
      <c r="BD383" s="176"/>
      <c r="BE383" s="176"/>
      <c r="BF383" s="176"/>
      <c r="BG383" s="176"/>
      <c r="BH383" s="176"/>
      <c r="BI383" s="176"/>
      <c r="BJ383" s="176"/>
      <c r="BK383" s="211"/>
      <c r="BL383" s="211"/>
      <c r="BM383" s="184"/>
      <c r="BN383" s="184"/>
      <c r="BO383" s="184"/>
      <c r="BP383" s="184"/>
      <c r="BQ383" s="184"/>
      <c r="BR383" s="184"/>
      <c r="BS383" s="184"/>
      <c r="BT383" s="184"/>
      <c r="BU383" s="184"/>
    </row>
    <row r="384" spans="3:73" s="759" customFormat="1" ht="15">
      <c r="C384" s="760"/>
      <c r="G384" s="763"/>
      <c r="K384" s="762"/>
      <c r="O384" s="763"/>
      <c r="X384" s="184"/>
      <c r="Y384" s="184"/>
      <c r="Z384" s="184"/>
      <c r="AA384" s="184"/>
      <c r="AB384" s="184"/>
      <c r="AC384" s="184"/>
      <c r="AD384" s="184"/>
      <c r="AE384" s="184"/>
      <c r="AF384" s="184"/>
      <c r="AG384" s="184"/>
      <c r="AH384" s="184"/>
      <c r="AI384" s="185"/>
      <c r="AJ384" s="185"/>
      <c r="AK384" s="185"/>
      <c r="AL384" s="185"/>
      <c r="AM384" s="185"/>
      <c r="AN384" s="185"/>
      <c r="AO384" s="209"/>
      <c r="AP384" s="185"/>
      <c r="AQ384" s="185"/>
      <c r="AR384" s="185"/>
      <c r="AS384" s="210"/>
      <c r="AT384" s="176"/>
      <c r="AU384" s="176"/>
      <c r="AV384" s="176"/>
      <c r="AW384" s="176"/>
      <c r="AX384" s="176"/>
      <c r="AY384" s="176"/>
      <c r="AZ384" s="176"/>
      <c r="BA384" s="176"/>
      <c r="BB384" s="176"/>
      <c r="BC384" s="176"/>
      <c r="BD384" s="176"/>
      <c r="BE384" s="176"/>
      <c r="BF384" s="176"/>
      <c r="BG384" s="176"/>
      <c r="BH384" s="176"/>
      <c r="BI384" s="176"/>
      <c r="BJ384" s="176"/>
      <c r="BK384" s="211"/>
      <c r="BL384" s="211"/>
      <c r="BM384" s="184"/>
      <c r="BN384" s="184"/>
      <c r="BO384" s="184"/>
      <c r="BP384" s="184"/>
      <c r="BQ384" s="184"/>
      <c r="BR384" s="184"/>
      <c r="BS384" s="184"/>
      <c r="BT384" s="184"/>
      <c r="BU384" s="184"/>
    </row>
    <row r="385" spans="3:73" s="759" customFormat="1" ht="15">
      <c r="C385" s="760"/>
      <c r="G385" s="763"/>
      <c r="K385" s="762"/>
      <c r="O385" s="763"/>
      <c r="X385" s="184"/>
      <c r="Y385" s="184"/>
      <c r="Z385" s="184"/>
      <c r="AA385" s="184"/>
      <c r="AB385" s="184"/>
      <c r="AC385" s="184"/>
      <c r="AD385" s="184"/>
      <c r="AE385" s="184"/>
      <c r="AF385" s="184"/>
      <c r="AG385" s="184"/>
      <c r="AH385" s="184"/>
      <c r="AI385" s="185"/>
      <c r="AJ385" s="185"/>
      <c r="AK385" s="185"/>
      <c r="AL385" s="185"/>
      <c r="AM385" s="185"/>
      <c r="AN385" s="185"/>
      <c r="AO385" s="209"/>
      <c r="AP385" s="185"/>
      <c r="AQ385" s="185"/>
      <c r="AR385" s="185"/>
      <c r="AS385" s="210"/>
      <c r="AT385" s="176"/>
      <c r="AU385" s="176"/>
      <c r="AV385" s="176"/>
      <c r="AW385" s="176"/>
      <c r="AX385" s="176"/>
      <c r="AY385" s="176"/>
      <c r="AZ385" s="176"/>
      <c r="BA385" s="176"/>
      <c r="BB385" s="176"/>
      <c r="BC385" s="176"/>
      <c r="BD385" s="176"/>
      <c r="BE385" s="176"/>
      <c r="BF385" s="176"/>
      <c r="BG385" s="176"/>
      <c r="BH385" s="176"/>
      <c r="BI385" s="176"/>
      <c r="BJ385" s="176"/>
      <c r="BK385" s="211"/>
      <c r="BL385" s="211"/>
      <c r="BM385" s="184"/>
      <c r="BN385" s="184"/>
      <c r="BO385" s="184"/>
      <c r="BP385" s="184"/>
      <c r="BQ385" s="184"/>
      <c r="BR385" s="184"/>
      <c r="BS385" s="184"/>
      <c r="BT385" s="184"/>
      <c r="BU385" s="184"/>
    </row>
    <row r="386" spans="3:73" s="759" customFormat="1" ht="15">
      <c r="C386" s="760"/>
      <c r="G386" s="763"/>
      <c r="K386" s="762"/>
      <c r="O386" s="763"/>
      <c r="X386" s="184"/>
      <c r="Y386" s="184"/>
      <c r="Z386" s="184"/>
      <c r="AA386" s="184"/>
      <c r="AB386" s="184"/>
      <c r="AC386" s="184"/>
      <c r="AD386" s="184"/>
      <c r="AE386" s="184"/>
      <c r="AF386" s="184"/>
      <c r="AG386" s="184"/>
      <c r="AH386" s="184"/>
      <c r="AI386" s="185"/>
      <c r="AJ386" s="185"/>
      <c r="AK386" s="185"/>
      <c r="AL386" s="185"/>
      <c r="AM386" s="185"/>
      <c r="AN386" s="185"/>
      <c r="AO386" s="209"/>
      <c r="AP386" s="185"/>
      <c r="AQ386" s="185"/>
      <c r="AR386" s="185"/>
      <c r="AS386" s="210"/>
      <c r="AT386" s="176"/>
      <c r="AU386" s="176"/>
      <c r="AV386" s="176"/>
      <c r="AW386" s="176"/>
      <c r="AX386" s="176"/>
      <c r="AY386" s="176"/>
      <c r="AZ386" s="176"/>
      <c r="BA386" s="176"/>
      <c r="BB386" s="176"/>
      <c r="BC386" s="176"/>
      <c r="BD386" s="176"/>
      <c r="BE386" s="176"/>
      <c r="BF386" s="176"/>
      <c r="BG386" s="176"/>
      <c r="BH386" s="176"/>
      <c r="BI386" s="176"/>
      <c r="BJ386" s="176"/>
      <c r="BK386" s="211"/>
      <c r="BL386" s="211"/>
      <c r="BM386" s="184"/>
      <c r="BN386" s="184"/>
      <c r="BO386" s="184"/>
      <c r="BP386" s="184"/>
      <c r="BQ386" s="184"/>
      <c r="BR386" s="184"/>
      <c r="BS386" s="184"/>
      <c r="BT386" s="184"/>
      <c r="BU386" s="184"/>
    </row>
    <row r="387" spans="3:73" s="759" customFormat="1" ht="15">
      <c r="C387" s="760"/>
      <c r="G387" s="763"/>
      <c r="K387" s="762"/>
      <c r="O387" s="763"/>
      <c r="X387" s="184"/>
      <c r="Y387" s="184"/>
      <c r="Z387" s="184"/>
      <c r="AA387" s="184"/>
      <c r="AB387" s="184"/>
      <c r="AC387" s="184"/>
      <c r="AD387" s="184"/>
      <c r="AE387" s="184"/>
      <c r="AF387" s="184"/>
      <c r="AG387" s="184"/>
      <c r="AH387" s="184"/>
      <c r="AI387" s="185"/>
      <c r="AJ387" s="185"/>
      <c r="AK387" s="185"/>
      <c r="AL387" s="185"/>
      <c r="AM387" s="185"/>
      <c r="AN387" s="185"/>
      <c r="AO387" s="209"/>
      <c r="AP387" s="185"/>
      <c r="AQ387" s="185"/>
      <c r="AR387" s="185"/>
      <c r="AS387" s="210"/>
      <c r="AT387" s="176"/>
      <c r="AU387" s="176"/>
      <c r="AV387" s="176"/>
      <c r="AW387" s="176"/>
      <c r="AX387" s="176"/>
      <c r="AY387" s="176"/>
      <c r="AZ387" s="176"/>
      <c r="BA387" s="176"/>
      <c r="BB387" s="176"/>
      <c r="BC387" s="176"/>
      <c r="BD387" s="176"/>
      <c r="BE387" s="176"/>
      <c r="BF387" s="176"/>
      <c r="BG387" s="176"/>
      <c r="BH387" s="176"/>
      <c r="BI387" s="176"/>
      <c r="BJ387" s="176"/>
      <c r="BK387" s="211"/>
      <c r="BL387" s="211"/>
      <c r="BM387" s="184"/>
      <c r="BN387" s="184"/>
      <c r="BO387" s="184"/>
      <c r="BP387" s="184"/>
      <c r="BQ387" s="184"/>
      <c r="BR387" s="184"/>
      <c r="BS387" s="184"/>
      <c r="BT387" s="184"/>
      <c r="BU387" s="184"/>
    </row>
    <row r="388" spans="3:75" s="184" customFormat="1" ht="15">
      <c r="C388" s="211"/>
      <c r="G388" s="208"/>
      <c r="K388" s="248"/>
      <c r="O388" s="208"/>
      <c r="AI388" s="185"/>
      <c r="AJ388" s="185"/>
      <c r="AK388" s="185"/>
      <c r="AL388" s="185"/>
      <c r="AM388" s="185"/>
      <c r="AN388" s="185"/>
      <c r="AO388" s="209"/>
      <c r="AP388" s="185"/>
      <c r="AQ388" s="185"/>
      <c r="AR388" s="185"/>
      <c r="AS388" s="210"/>
      <c r="AT388" s="176"/>
      <c r="AU388" s="176"/>
      <c r="AV388" s="176"/>
      <c r="AW388" s="176"/>
      <c r="AX388" s="176"/>
      <c r="AY388" s="176"/>
      <c r="AZ388" s="176"/>
      <c r="BA388" s="176"/>
      <c r="BB388" s="176"/>
      <c r="BC388" s="176"/>
      <c r="BD388" s="176"/>
      <c r="BE388" s="176"/>
      <c r="BF388" s="176"/>
      <c r="BG388" s="176"/>
      <c r="BH388" s="176"/>
      <c r="BI388" s="176"/>
      <c r="BJ388" s="176"/>
      <c r="BK388" s="211"/>
      <c r="BL388" s="211"/>
      <c r="BV388" s="759"/>
      <c r="BW388" s="759"/>
    </row>
    <row r="389" spans="3:75" s="184" customFormat="1" ht="15">
      <c r="C389" s="211"/>
      <c r="G389" s="208"/>
      <c r="K389" s="248"/>
      <c r="O389" s="208"/>
      <c r="AI389" s="185"/>
      <c r="AJ389" s="185"/>
      <c r="AK389" s="185"/>
      <c r="AL389" s="185"/>
      <c r="AM389" s="185"/>
      <c r="AN389" s="185"/>
      <c r="AO389" s="209"/>
      <c r="AP389" s="185"/>
      <c r="AQ389" s="185"/>
      <c r="AR389" s="185"/>
      <c r="AS389" s="210"/>
      <c r="AT389" s="176"/>
      <c r="AU389" s="176"/>
      <c r="AV389" s="176"/>
      <c r="AW389" s="176"/>
      <c r="AX389" s="176"/>
      <c r="AY389" s="176"/>
      <c r="AZ389" s="176"/>
      <c r="BA389" s="176"/>
      <c r="BB389" s="176"/>
      <c r="BC389" s="176"/>
      <c r="BD389" s="176"/>
      <c r="BE389" s="176"/>
      <c r="BF389" s="176"/>
      <c r="BG389" s="176"/>
      <c r="BH389" s="176"/>
      <c r="BI389" s="176"/>
      <c r="BJ389" s="176"/>
      <c r="BK389" s="211"/>
      <c r="BL389" s="211"/>
      <c r="BV389" s="759"/>
      <c r="BW389" s="759"/>
    </row>
    <row r="390" spans="3:75" s="184" customFormat="1" ht="15">
      <c r="C390" s="211"/>
      <c r="G390" s="208"/>
      <c r="K390" s="248"/>
      <c r="O390" s="208"/>
      <c r="AI390" s="185"/>
      <c r="AJ390" s="185"/>
      <c r="AK390" s="185"/>
      <c r="AL390" s="185"/>
      <c r="AM390" s="185"/>
      <c r="AN390" s="185"/>
      <c r="AO390" s="209"/>
      <c r="AP390" s="185"/>
      <c r="AQ390" s="185"/>
      <c r="AR390" s="185"/>
      <c r="AS390" s="210"/>
      <c r="AT390" s="176"/>
      <c r="AU390" s="176"/>
      <c r="AV390" s="176"/>
      <c r="AW390" s="176"/>
      <c r="AX390" s="176"/>
      <c r="AY390" s="176"/>
      <c r="AZ390" s="176"/>
      <c r="BA390" s="176"/>
      <c r="BB390" s="176"/>
      <c r="BC390" s="176"/>
      <c r="BD390" s="176"/>
      <c r="BE390" s="176"/>
      <c r="BF390" s="176"/>
      <c r="BG390" s="176"/>
      <c r="BH390" s="176"/>
      <c r="BI390" s="176"/>
      <c r="BJ390" s="176"/>
      <c r="BK390" s="211"/>
      <c r="BL390" s="211"/>
      <c r="BV390" s="759"/>
      <c r="BW390" s="759"/>
    </row>
    <row r="391" spans="3:75" s="184" customFormat="1" ht="15">
      <c r="C391" s="211"/>
      <c r="G391" s="208"/>
      <c r="K391" s="248"/>
      <c r="O391" s="208"/>
      <c r="AI391" s="185"/>
      <c r="AJ391" s="185"/>
      <c r="AK391" s="185"/>
      <c r="AL391" s="185"/>
      <c r="AM391" s="185"/>
      <c r="AN391" s="185"/>
      <c r="AO391" s="209"/>
      <c r="AP391" s="185"/>
      <c r="AQ391" s="185"/>
      <c r="AR391" s="185"/>
      <c r="AS391" s="210"/>
      <c r="AT391" s="176"/>
      <c r="AU391" s="176"/>
      <c r="AV391" s="176"/>
      <c r="AW391" s="176"/>
      <c r="AX391" s="176"/>
      <c r="AY391" s="176"/>
      <c r="AZ391" s="176"/>
      <c r="BA391" s="176"/>
      <c r="BB391" s="176"/>
      <c r="BC391" s="176"/>
      <c r="BD391" s="176"/>
      <c r="BE391" s="176"/>
      <c r="BF391" s="176"/>
      <c r="BG391" s="176"/>
      <c r="BH391" s="176"/>
      <c r="BI391" s="176"/>
      <c r="BJ391" s="176"/>
      <c r="BK391" s="211"/>
      <c r="BL391" s="211"/>
      <c r="BV391" s="759"/>
      <c r="BW391" s="759"/>
    </row>
    <row r="392" spans="3:75" s="184" customFormat="1" ht="15">
      <c r="C392" s="211"/>
      <c r="G392" s="208"/>
      <c r="K392" s="248"/>
      <c r="O392" s="208"/>
      <c r="AI392" s="185"/>
      <c r="AJ392" s="185"/>
      <c r="AK392" s="185"/>
      <c r="AL392" s="185"/>
      <c r="AM392" s="185"/>
      <c r="AN392" s="185"/>
      <c r="AO392" s="209"/>
      <c r="AP392" s="185"/>
      <c r="AQ392" s="185"/>
      <c r="AR392" s="185"/>
      <c r="AS392" s="210"/>
      <c r="AT392" s="176"/>
      <c r="AU392" s="176"/>
      <c r="AV392" s="176"/>
      <c r="AW392" s="176"/>
      <c r="AX392" s="176"/>
      <c r="AY392" s="176"/>
      <c r="AZ392" s="176"/>
      <c r="BA392" s="176"/>
      <c r="BB392" s="176"/>
      <c r="BC392" s="176"/>
      <c r="BD392" s="176"/>
      <c r="BE392" s="176"/>
      <c r="BF392" s="176"/>
      <c r="BG392" s="176"/>
      <c r="BH392" s="176"/>
      <c r="BI392" s="176"/>
      <c r="BJ392" s="176"/>
      <c r="BK392" s="211"/>
      <c r="BL392" s="211"/>
      <c r="BV392" s="759"/>
      <c r="BW392" s="759"/>
    </row>
    <row r="393" spans="3:75" s="184" customFormat="1" ht="15">
      <c r="C393" s="211"/>
      <c r="G393" s="208"/>
      <c r="K393" s="248"/>
      <c r="O393" s="208"/>
      <c r="AI393" s="185"/>
      <c r="AJ393" s="185"/>
      <c r="AK393" s="185"/>
      <c r="AL393" s="185"/>
      <c r="AM393" s="185"/>
      <c r="AN393" s="185"/>
      <c r="AO393" s="209"/>
      <c r="AP393" s="185"/>
      <c r="AQ393" s="185"/>
      <c r="AR393" s="185"/>
      <c r="AS393" s="210"/>
      <c r="AT393" s="176"/>
      <c r="AU393" s="176"/>
      <c r="AV393" s="176"/>
      <c r="AW393" s="176"/>
      <c r="AX393" s="176"/>
      <c r="AY393" s="176"/>
      <c r="AZ393" s="176"/>
      <c r="BA393" s="176"/>
      <c r="BB393" s="176"/>
      <c r="BC393" s="176"/>
      <c r="BD393" s="176"/>
      <c r="BE393" s="176"/>
      <c r="BF393" s="176"/>
      <c r="BG393" s="176"/>
      <c r="BH393" s="176"/>
      <c r="BI393" s="176"/>
      <c r="BJ393" s="176"/>
      <c r="BK393" s="211"/>
      <c r="BL393" s="211"/>
      <c r="BV393" s="759"/>
      <c r="BW393" s="759"/>
    </row>
    <row r="394" spans="3:75" s="184" customFormat="1" ht="15">
      <c r="C394" s="211"/>
      <c r="G394" s="208"/>
      <c r="K394" s="248"/>
      <c r="O394" s="208"/>
      <c r="AI394" s="185"/>
      <c r="AJ394" s="185"/>
      <c r="AK394" s="185"/>
      <c r="AL394" s="185"/>
      <c r="AM394" s="185"/>
      <c r="AN394" s="185"/>
      <c r="AO394" s="209"/>
      <c r="AP394" s="185"/>
      <c r="AQ394" s="185"/>
      <c r="AR394" s="185"/>
      <c r="AS394" s="210"/>
      <c r="AT394" s="176"/>
      <c r="AU394" s="176"/>
      <c r="AV394" s="176"/>
      <c r="AW394" s="176"/>
      <c r="AX394" s="176"/>
      <c r="AY394" s="176"/>
      <c r="AZ394" s="176"/>
      <c r="BA394" s="176"/>
      <c r="BB394" s="176"/>
      <c r="BC394" s="176"/>
      <c r="BD394" s="176"/>
      <c r="BE394" s="176"/>
      <c r="BF394" s="176"/>
      <c r="BG394" s="176"/>
      <c r="BH394" s="176"/>
      <c r="BI394" s="176"/>
      <c r="BJ394" s="176"/>
      <c r="BK394" s="211"/>
      <c r="BL394" s="211"/>
      <c r="BV394" s="759"/>
      <c r="BW394" s="759"/>
    </row>
    <row r="395" spans="3:75" s="184" customFormat="1" ht="15">
      <c r="C395" s="211"/>
      <c r="G395" s="208"/>
      <c r="K395" s="248"/>
      <c r="O395" s="208"/>
      <c r="AI395" s="185"/>
      <c r="AJ395" s="185"/>
      <c r="AK395" s="185"/>
      <c r="AL395" s="185"/>
      <c r="AM395" s="185"/>
      <c r="AN395" s="185"/>
      <c r="AO395" s="209"/>
      <c r="AP395" s="185"/>
      <c r="AQ395" s="185"/>
      <c r="AR395" s="185"/>
      <c r="AS395" s="210"/>
      <c r="AT395" s="176"/>
      <c r="AU395" s="176"/>
      <c r="AV395" s="176"/>
      <c r="AW395" s="176"/>
      <c r="AX395" s="176"/>
      <c r="AY395" s="176"/>
      <c r="AZ395" s="176"/>
      <c r="BA395" s="176"/>
      <c r="BB395" s="176"/>
      <c r="BC395" s="176"/>
      <c r="BD395" s="176"/>
      <c r="BE395" s="176"/>
      <c r="BF395" s="176"/>
      <c r="BG395" s="176"/>
      <c r="BH395" s="176"/>
      <c r="BI395" s="176"/>
      <c r="BJ395" s="176"/>
      <c r="BK395" s="211"/>
      <c r="BL395" s="211"/>
      <c r="BV395" s="759"/>
      <c r="BW395" s="759"/>
    </row>
    <row r="396" spans="3:75" s="184" customFormat="1" ht="15">
      <c r="C396" s="211"/>
      <c r="G396" s="208"/>
      <c r="K396" s="248"/>
      <c r="O396" s="208"/>
      <c r="AI396" s="185"/>
      <c r="AJ396" s="185"/>
      <c r="AK396" s="185"/>
      <c r="AL396" s="185"/>
      <c r="AM396" s="185"/>
      <c r="AN396" s="185"/>
      <c r="AO396" s="209"/>
      <c r="AP396" s="185"/>
      <c r="AQ396" s="185"/>
      <c r="AR396" s="185"/>
      <c r="AS396" s="210"/>
      <c r="AT396" s="176"/>
      <c r="AU396" s="176"/>
      <c r="AV396" s="176"/>
      <c r="AW396" s="176"/>
      <c r="AX396" s="176"/>
      <c r="AY396" s="176"/>
      <c r="AZ396" s="176"/>
      <c r="BA396" s="176"/>
      <c r="BB396" s="176"/>
      <c r="BC396" s="176"/>
      <c r="BD396" s="176"/>
      <c r="BE396" s="176"/>
      <c r="BF396" s="176"/>
      <c r="BG396" s="176"/>
      <c r="BH396" s="176"/>
      <c r="BI396" s="176"/>
      <c r="BJ396" s="176"/>
      <c r="BK396" s="211"/>
      <c r="BL396" s="211"/>
      <c r="BV396" s="759"/>
      <c r="BW396" s="759"/>
    </row>
    <row r="397" spans="3:75" s="184" customFormat="1" ht="15">
      <c r="C397" s="211"/>
      <c r="G397" s="208"/>
      <c r="K397" s="248"/>
      <c r="O397" s="208"/>
      <c r="AI397" s="185"/>
      <c r="AJ397" s="185"/>
      <c r="AK397" s="185"/>
      <c r="AL397" s="185"/>
      <c r="AM397" s="185"/>
      <c r="AN397" s="185"/>
      <c r="AO397" s="209"/>
      <c r="AP397" s="185"/>
      <c r="AQ397" s="185"/>
      <c r="AR397" s="185"/>
      <c r="AS397" s="210"/>
      <c r="AT397" s="176"/>
      <c r="AU397" s="176"/>
      <c r="AV397" s="176"/>
      <c r="AW397" s="176"/>
      <c r="AX397" s="176"/>
      <c r="AY397" s="176"/>
      <c r="AZ397" s="176"/>
      <c r="BA397" s="176"/>
      <c r="BB397" s="176"/>
      <c r="BC397" s="176"/>
      <c r="BD397" s="176"/>
      <c r="BE397" s="176"/>
      <c r="BF397" s="176"/>
      <c r="BG397" s="176"/>
      <c r="BH397" s="176"/>
      <c r="BI397" s="176"/>
      <c r="BJ397" s="176"/>
      <c r="BK397" s="211"/>
      <c r="BL397" s="211"/>
      <c r="BV397" s="759"/>
      <c r="BW397" s="759"/>
    </row>
    <row r="398" spans="3:75" s="184" customFormat="1" ht="15">
      <c r="C398" s="211"/>
      <c r="G398" s="208"/>
      <c r="K398" s="248"/>
      <c r="O398" s="208"/>
      <c r="AI398" s="185"/>
      <c r="AJ398" s="185"/>
      <c r="AK398" s="185"/>
      <c r="AL398" s="185"/>
      <c r="AM398" s="185"/>
      <c r="AN398" s="185"/>
      <c r="AO398" s="209"/>
      <c r="AP398" s="185"/>
      <c r="AQ398" s="185"/>
      <c r="AR398" s="185"/>
      <c r="AS398" s="210"/>
      <c r="AT398" s="176"/>
      <c r="AU398" s="176"/>
      <c r="AV398" s="176"/>
      <c r="AW398" s="176"/>
      <c r="AX398" s="176"/>
      <c r="AY398" s="176"/>
      <c r="AZ398" s="176"/>
      <c r="BA398" s="176"/>
      <c r="BB398" s="176"/>
      <c r="BC398" s="176"/>
      <c r="BD398" s="176"/>
      <c r="BE398" s="176"/>
      <c r="BF398" s="176"/>
      <c r="BG398" s="176"/>
      <c r="BH398" s="176"/>
      <c r="BI398" s="176"/>
      <c r="BJ398" s="176"/>
      <c r="BK398" s="211"/>
      <c r="BL398" s="211"/>
      <c r="BV398" s="759"/>
      <c r="BW398" s="759"/>
    </row>
    <row r="399" spans="3:75" s="184" customFormat="1" ht="15">
      <c r="C399" s="211"/>
      <c r="G399" s="208"/>
      <c r="K399" s="248"/>
      <c r="O399" s="208"/>
      <c r="AI399" s="185"/>
      <c r="AJ399" s="185"/>
      <c r="AK399" s="185"/>
      <c r="AL399" s="185"/>
      <c r="AM399" s="185"/>
      <c r="AN399" s="185"/>
      <c r="AO399" s="209"/>
      <c r="AP399" s="185"/>
      <c r="AQ399" s="185"/>
      <c r="AR399" s="185"/>
      <c r="AS399" s="210"/>
      <c r="AT399" s="176"/>
      <c r="AU399" s="176"/>
      <c r="AV399" s="176"/>
      <c r="AW399" s="176"/>
      <c r="AX399" s="176"/>
      <c r="AY399" s="176"/>
      <c r="AZ399" s="176"/>
      <c r="BA399" s="176"/>
      <c r="BB399" s="176"/>
      <c r="BC399" s="176"/>
      <c r="BD399" s="176"/>
      <c r="BE399" s="176"/>
      <c r="BF399" s="176"/>
      <c r="BG399" s="176"/>
      <c r="BH399" s="176"/>
      <c r="BI399" s="176"/>
      <c r="BJ399" s="176"/>
      <c r="BK399" s="211"/>
      <c r="BL399" s="211"/>
      <c r="BV399" s="759"/>
      <c r="BW399" s="759"/>
    </row>
    <row r="400" spans="3:75" s="184" customFormat="1" ht="15">
      <c r="C400" s="211"/>
      <c r="G400" s="208"/>
      <c r="K400" s="248"/>
      <c r="O400" s="208"/>
      <c r="AI400" s="185"/>
      <c r="AJ400" s="185"/>
      <c r="AK400" s="185"/>
      <c r="AL400" s="185"/>
      <c r="AM400" s="185"/>
      <c r="AN400" s="185"/>
      <c r="AO400" s="209"/>
      <c r="AP400" s="185"/>
      <c r="AQ400" s="185"/>
      <c r="AR400" s="185"/>
      <c r="AS400" s="210"/>
      <c r="AT400" s="176"/>
      <c r="AU400" s="176"/>
      <c r="AV400" s="176"/>
      <c r="AW400" s="176"/>
      <c r="AX400" s="176"/>
      <c r="AY400" s="176"/>
      <c r="AZ400" s="176"/>
      <c r="BA400" s="176"/>
      <c r="BB400" s="176"/>
      <c r="BC400" s="176"/>
      <c r="BD400" s="176"/>
      <c r="BE400" s="176"/>
      <c r="BF400" s="176"/>
      <c r="BG400" s="176"/>
      <c r="BH400" s="176"/>
      <c r="BI400" s="176"/>
      <c r="BJ400" s="176"/>
      <c r="BK400" s="211"/>
      <c r="BL400" s="211"/>
      <c r="BV400" s="759"/>
      <c r="BW400" s="759"/>
    </row>
    <row r="401" spans="3:75" s="184" customFormat="1" ht="15">
      <c r="C401" s="211"/>
      <c r="G401" s="208"/>
      <c r="K401" s="248"/>
      <c r="O401" s="208"/>
      <c r="AI401" s="185"/>
      <c r="AJ401" s="185"/>
      <c r="AK401" s="185"/>
      <c r="AL401" s="185"/>
      <c r="AM401" s="185"/>
      <c r="AN401" s="185"/>
      <c r="AO401" s="209"/>
      <c r="AP401" s="185"/>
      <c r="AQ401" s="185"/>
      <c r="AR401" s="185"/>
      <c r="AS401" s="210"/>
      <c r="AT401" s="176"/>
      <c r="AU401" s="176"/>
      <c r="AV401" s="176"/>
      <c r="AW401" s="176"/>
      <c r="AX401" s="176"/>
      <c r="AY401" s="176"/>
      <c r="AZ401" s="176"/>
      <c r="BA401" s="176"/>
      <c r="BB401" s="176"/>
      <c r="BC401" s="176"/>
      <c r="BD401" s="176"/>
      <c r="BE401" s="176"/>
      <c r="BF401" s="176"/>
      <c r="BG401" s="176"/>
      <c r="BH401" s="176"/>
      <c r="BI401" s="176"/>
      <c r="BJ401" s="176"/>
      <c r="BK401" s="211"/>
      <c r="BL401" s="211"/>
      <c r="BV401" s="759"/>
      <c r="BW401" s="759"/>
    </row>
    <row r="402" spans="3:75" s="184" customFormat="1" ht="15">
      <c r="C402" s="211"/>
      <c r="G402" s="208"/>
      <c r="K402" s="248"/>
      <c r="O402" s="208"/>
      <c r="AI402" s="185"/>
      <c r="AJ402" s="185"/>
      <c r="AK402" s="185"/>
      <c r="AL402" s="185"/>
      <c r="AM402" s="185"/>
      <c r="AN402" s="185"/>
      <c r="AO402" s="209"/>
      <c r="AP402" s="185"/>
      <c r="AQ402" s="185"/>
      <c r="AR402" s="185"/>
      <c r="AS402" s="210"/>
      <c r="AT402" s="176"/>
      <c r="AU402" s="176"/>
      <c r="AV402" s="176"/>
      <c r="AW402" s="176"/>
      <c r="AX402" s="176"/>
      <c r="AY402" s="176"/>
      <c r="AZ402" s="176"/>
      <c r="BA402" s="176"/>
      <c r="BB402" s="176"/>
      <c r="BC402" s="176"/>
      <c r="BD402" s="176"/>
      <c r="BE402" s="176"/>
      <c r="BF402" s="176"/>
      <c r="BG402" s="176"/>
      <c r="BH402" s="176"/>
      <c r="BI402" s="176"/>
      <c r="BJ402" s="176"/>
      <c r="BK402" s="211"/>
      <c r="BL402" s="211"/>
      <c r="BV402" s="759"/>
      <c r="BW402" s="759"/>
    </row>
    <row r="403" spans="3:75" s="184" customFormat="1" ht="15">
      <c r="C403" s="211"/>
      <c r="G403" s="208"/>
      <c r="K403" s="248"/>
      <c r="O403" s="208"/>
      <c r="AI403" s="185"/>
      <c r="AJ403" s="185"/>
      <c r="AK403" s="185"/>
      <c r="AL403" s="185"/>
      <c r="AM403" s="185"/>
      <c r="AN403" s="185"/>
      <c r="AO403" s="209"/>
      <c r="AP403" s="185"/>
      <c r="AQ403" s="185"/>
      <c r="AR403" s="185"/>
      <c r="AS403" s="210"/>
      <c r="AT403" s="176"/>
      <c r="AU403" s="176"/>
      <c r="AV403" s="176"/>
      <c r="AW403" s="176"/>
      <c r="AX403" s="176"/>
      <c r="AY403" s="176"/>
      <c r="AZ403" s="176"/>
      <c r="BA403" s="176"/>
      <c r="BB403" s="176"/>
      <c r="BC403" s="176"/>
      <c r="BD403" s="176"/>
      <c r="BE403" s="176"/>
      <c r="BF403" s="176"/>
      <c r="BG403" s="176"/>
      <c r="BH403" s="176"/>
      <c r="BI403" s="176"/>
      <c r="BJ403" s="176"/>
      <c r="BK403" s="211"/>
      <c r="BL403" s="211"/>
      <c r="BV403" s="759"/>
      <c r="BW403" s="759"/>
    </row>
    <row r="404" spans="3:75" s="184" customFormat="1" ht="15">
      <c r="C404" s="211"/>
      <c r="G404" s="208"/>
      <c r="K404" s="248"/>
      <c r="O404" s="208"/>
      <c r="AI404" s="185"/>
      <c r="AJ404" s="185"/>
      <c r="AK404" s="185"/>
      <c r="AL404" s="185"/>
      <c r="AM404" s="185"/>
      <c r="AN404" s="185"/>
      <c r="AO404" s="209"/>
      <c r="AP404" s="185"/>
      <c r="AQ404" s="185"/>
      <c r="AR404" s="185"/>
      <c r="AS404" s="210"/>
      <c r="AT404" s="176"/>
      <c r="AU404" s="176"/>
      <c r="AV404" s="176"/>
      <c r="AW404" s="176"/>
      <c r="AX404" s="176"/>
      <c r="AY404" s="176"/>
      <c r="AZ404" s="176"/>
      <c r="BA404" s="176"/>
      <c r="BB404" s="176"/>
      <c r="BC404" s="176"/>
      <c r="BD404" s="176"/>
      <c r="BE404" s="176"/>
      <c r="BF404" s="176"/>
      <c r="BG404" s="176"/>
      <c r="BH404" s="176"/>
      <c r="BI404" s="176"/>
      <c r="BJ404" s="176"/>
      <c r="BK404" s="211"/>
      <c r="BL404" s="211"/>
      <c r="BV404" s="759"/>
      <c r="BW404" s="759"/>
    </row>
    <row r="405" spans="3:75" s="184" customFormat="1" ht="15">
      <c r="C405" s="211"/>
      <c r="G405" s="208"/>
      <c r="K405" s="248"/>
      <c r="O405" s="208"/>
      <c r="AI405" s="185"/>
      <c r="AJ405" s="185"/>
      <c r="AK405" s="185"/>
      <c r="AL405" s="185"/>
      <c r="AM405" s="185"/>
      <c r="AN405" s="185"/>
      <c r="AO405" s="209"/>
      <c r="AP405" s="185"/>
      <c r="AQ405" s="185"/>
      <c r="AR405" s="185"/>
      <c r="AS405" s="210"/>
      <c r="AT405" s="176"/>
      <c r="AU405" s="176"/>
      <c r="AV405" s="176"/>
      <c r="AW405" s="176"/>
      <c r="AX405" s="176"/>
      <c r="AY405" s="176"/>
      <c r="AZ405" s="176"/>
      <c r="BA405" s="176"/>
      <c r="BB405" s="176"/>
      <c r="BC405" s="176"/>
      <c r="BD405" s="176"/>
      <c r="BE405" s="176"/>
      <c r="BF405" s="176"/>
      <c r="BG405" s="176"/>
      <c r="BH405" s="176"/>
      <c r="BI405" s="176"/>
      <c r="BJ405" s="176"/>
      <c r="BK405" s="211"/>
      <c r="BL405" s="211"/>
      <c r="BV405" s="759"/>
      <c r="BW405" s="759"/>
    </row>
    <row r="406" spans="3:75" s="184" customFormat="1" ht="15">
      <c r="C406" s="211"/>
      <c r="G406" s="208"/>
      <c r="K406" s="248"/>
      <c r="O406" s="208"/>
      <c r="AI406" s="185"/>
      <c r="AJ406" s="185"/>
      <c r="AK406" s="185"/>
      <c r="AL406" s="185"/>
      <c r="AM406" s="185"/>
      <c r="AN406" s="185"/>
      <c r="AO406" s="209"/>
      <c r="AP406" s="185"/>
      <c r="AQ406" s="185"/>
      <c r="AR406" s="185"/>
      <c r="AS406" s="210"/>
      <c r="AT406" s="176"/>
      <c r="AU406" s="176"/>
      <c r="AV406" s="176"/>
      <c r="AW406" s="176"/>
      <c r="AX406" s="176"/>
      <c r="AY406" s="176"/>
      <c r="AZ406" s="176"/>
      <c r="BA406" s="176"/>
      <c r="BB406" s="176"/>
      <c r="BC406" s="176"/>
      <c r="BD406" s="176"/>
      <c r="BE406" s="176"/>
      <c r="BF406" s="176"/>
      <c r="BG406" s="176"/>
      <c r="BH406" s="176"/>
      <c r="BI406" s="176"/>
      <c r="BJ406" s="176"/>
      <c r="BK406" s="211"/>
      <c r="BL406" s="211"/>
      <c r="BV406" s="759"/>
      <c r="BW406" s="759"/>
    </row>
    <row r="407" spans="3:75" s="184" customFormat="1" ht="15">
      <c r="C407" s="211"/>
      <c r="G407" s="208"/>
      <c r="K407" s="248"/>
      <c r="O407" s="208"/>
      <c r="AI407" s="185"/>
      <c r="AJ407" s="185"/>
      <c r="AK407" s="185"/>
      <c r="AL407" s="185"/>
      <c r="AM407" s="185"/>
      <c r="AN407" s="185"/>
      <c r="AO407" s="209"/>
      <c r="AP407" s="185"/>
      <c r="AQ407" s="185"/>
      <c r="AR407" s="185"/>
      <c r="AS407" s="210"/>
      <c r="AT407" s="176"/>
      <c r="AU407" s="176"/>
      <c r="AV407" s="176"/>
      <c r="AW407" s="176"/>
      <c r="AX407" s="176"/>
      <c r="AY407" s="176"/>
      <c r="AZ407" s="176"/>
      <c r="BA407" s="176"/>
      <c r="BB407" s="176"/>
      <c r="BC407" s="176"/>
      <c r="BD407" s="176"/>
      <c r="BE407" s="176"/>
      <c r="BF407" s="176"/>
      <c r="BG407" s="176"/>
      <c r="BH407" s="176"/>
      <c r="BI407" s="176"/>
      <c r="BJ407" s="176"/>
      <c r="BK407" s="211"/>
      <c r="BL407" s="211"/>
      <c r="BV407" s="759"/>
      <c r="BW407" s="759"/>
    </row>
    <row r="408" spans="3:75" s="184" customFormat="1" ht="15">
      <c r="C408" s="211"/>
      <c r="G408" s="208"/>
      <c r="K408" s="248"/>
      <c r="O408" s="208"/>
      <c r="AI408" s="185"/>
      <c r="AJ408" s="185"/>
      <c r="AK408" s="185"/>
      <c r="AL408" s="185"/>
      <c r="AM408" s="185"/>
      <c r="AN408" s="185"/>
      <c r="AO408" s="209"/>
      <c r="AP408" s="185"/>
      <c r="AQ408" s="185"/>
      <c r="AR408" s="185"/>
      <c r="AS408" s="210"/>
      <c r="AT408" s="176"/>
      <c r="AU408" s="176"/>
      <c r="AV408" s="176"/>
      <c r="AW408" s="176"/>
      <c r="AX408" s="176"/>
      <c r="AY408" s="176"/>
      <c r="AZ408" s="176"/>
      <c r="BA408" s="176"/>
      <c r="BB408" s="176"/>
      <c r="BC408" s="176"/>
      <c r="BD408" s="176"/>
      <c r="BE408" s="176"/>
      <c r="BF408" s="176"/>
      <c r="BG408" s="176"/>
      <c r="BH408" s="176"/>
      <c r="BI408" s="176"/>
      <c r="BJ408" s="176"/>
      <c r="BK408" s="211"/>
      <c r="BL408" s="211"/>
      <c r="BV408" s="759"/>
      <c r="BW408" s="759"/>
    </row>
    <row r="409" spans="3:75" s="184" customFormat="1" ht="15">
      <c r="C409" s="211"/>
      <c r="G409" s="208"/>
      <c r="K409" s="248"/>
      <c r="O409" s="208"/>
      <c r="AI409" s="185"/>
      <c r="AJ409" s="185"/>
      <c r="AK409" s="185"/>
      <c r="AL409" s="185"/>
      <c r="AM409" s="185"/>
      <c r="AN409" s="185"/>
      <c r="AO409" s="209"/>
      <c r="AP409" s="185"/>
      <c r="AQ409" s="185"/>
      <c r="AR409" s="185"/>
      <c r="AS409" s="210"/>
      <c r="AT409" s="176"/>
      <c r="AU409" s="176"/>
      <c r="AV409" s="176"/>
      <c r="AW409" s="176"/>
      <c r="AX409" s="176"/>
      <c r="AY409" s="176"/>
      <c r="AZ409" s="176"/>
      <c r="BA409" s="176"/>
      <c r="BB409" s="176"/>
      <c r="BC409" s="176"/>
      <c r="BD409" s="176"/>
      <c r="BE409" s="176"/>
      <c r="BF409" s="176"/>
      <c r="BG409" s="176"/>
      <c r="BH409" s="176"/>
      <c r="BI409" s="176"/>
      <c r="BJ409" s="176"/>
      <c r="BK409" s="211"/>
      <c r="BL409" s="211"/>
      <c r="BV409" s="759"/>
      <c r="BW409" s="759"/>
    </row>
    <row r="410" spans="3:75" s="184" customFormat="1" ht="15">
      <c r="C410" s="211"/>
      <c r="G410" s="208"/>
      <c r="K410" s="248"/>
      <c r="O410" s="208"/>
      <c r="AI410" s="185"/>
      <c r="AJ410" s="185"/>
      <c r="AK410" s="185"/>
      <c r="AL410" s="185"/>
      <c r="AM410" s="185"/>
      <c r="AN410" s="185"/>
      <c r="AO410" s="209"/>
      <c r="AP410" s="185"/>
      <c r="AQ410" s="185"/>
      <c r="AR410" s="185"/>
      <c r="AS410" s="210"/>
      <c r="AT410" s="176"/>
      <c r="AU410" s="176"/>
      <c r="AV410" s="176"/>
      <c r="AW410" s="176"/>
      <c r="AX410" s="176"/>
      <c r="AY410" s="176"/>
      <c r="AZ410" s="176"/>
      <c r="BA410" s="176"/>
      <c r="BB410" s="176"/>
      <c r="BC410" s="176"/>
      <c r="BD410" s="176"/>
      <c r="BE410" s="176"/>
      <c r="BF410" s="176"/>
      <c r="BG410" s="176"/>
      <c r="BH410" s="176"/>
      <c r="BI410" s="176"/>
      <c r="BJ410" s="176"/>
      <c r="BK410" s="211"/>
      <c r="BL410" s="211"/>
      <c r="BV410" s="759"/>
      <c r="BW410" s="759"/>
    </row>
    <row r="411" spans="3:75" s="184" customFormat="1" ht="15">
      <c r="C411" s="211"/>
      <c r="G411" s="208"/>
      <c r="K411" s="248"/>
      <c r="O411" s="208"/>
      <c r="AI411" s="185"/>
      <c r="AJ411" s="185"/>
      <c r="AK411" s="185"/>
      <c r="AL411" s="185"/>
      <c r="AM411" s="185"/>
      <c r="AN411" s="185"/>
      <c r="AO411" s="209"/>
      <c r="AP411" s="185"/>
      <c r="AQ411" s="185"/>
      <c r="AR411" s="185"/>
      <c r="AS411" s="210"/>
      <c r="AT411" s="176"/>
      <c r="AU411" s="176"/>
      <c r="AV411" s="176"/>
      <c r="AW411" s="176"/>
      <c r="AX411" s="176"/>
      <c r="AY411" s="176"/>
      <c r="AZ411" s="176"/>
      <c r="BA411" s="176"/>
      <c r="BB411" s="176"/>
      <c r="BC411" s="176"/>
      <c r="BD411" s="176"/>
      <c r="BE411" s="176"/>
      <c r="BF411" s="176"/>
      <c r="BG411" s="176"/>
      <c r="BH411" s="176"/>
      <c r="BI411" s="176"/>
      <c r="BJ411" s="176"/>
      <c r="BK411" s="211"/>
      <c r="BL411" s="211"/>
      <c r="BV411" s="759"/>
      <c r="BW411" s="759"/>
    </row>
    <row r="412" spans="3:75" s="184" customFormat="1" ht="15">
      <c r="C412" s="211"/>
      <c r="G412" s="208"/>
      <c r="K412" s="248"/>
      <c r="O412" s="208"/>
      <c r="AI412" s="185"/>
      <c r="AJ412" s="185"/>
      <c r="AK412" s="185"/>
      <c r="AL412" s="185"/>
      <c r="AM412" s="185"/>
      <c r="AN412" s="185"/>
      <c r="AO412" s="209"/>
      <c r="AP412" s="185"/>
      <c r="AQ412" s="185"/>
      <c r="AR412" s="185"/>
      <c r="AS412" s="210"/>
      <c r="AT412" s="176"/>
      <c r="AU412" s="176"/>
      <c r="AV412" s="176"/>
      <c r="AW412" s="176"/>
      <c r="AX412" s="176"/>
      <c r="AY412" s="176"/>
      <c r="AZ412" s="176"/>
      <c r="BA412" s="176"/>
      <c r="BB412" s="176"/>
      <c r="BC412" s="176"/>
      <c r="BD412" s="176"/>
      <c r="BE412" s="176"/>
      <c r="BF412" s="176"/>
      <c r="BG412" s="176"/>
      <c r="BH412" s="176"/>
      <c r="BI412" s="176"/>
      <c r="BJ412" s="176"/>
      <c r="BK412" s="211"/>
      <c r="BL412" s="211"/>
      <c r="BV412" s="759"/>
      <c r="BW412" s="759"/>
    </row>
    <row r="413" spans="3:75" s="184" customFormat="1" ht="15">
      <c r="C413" s="211"/>
      <c r="G413" s="208"/>
      <c r="K413" s="248"/>
      <c r="O413" s="208"/>
      <c r="AI413" s="185"/>
      <c r="AJ413" s="185"/>
      <c r="AK413" s="185"/>
      <c r="AL413" s="185"/>
      <c r="AM413" s="185"/>
      <c r="AN413" s="185"/>
      <c r="AO413" s="209"/>
      <c r="AP413" s="185"/>
      <c r="AQ413" s="185"/>
      <c r="AR413" s="185"/>
      <c r="AS413" s="210"/>
      <c r="AT413" s="176"/>
      <c r="AU413" s="176"/>
      <c r="AV413" s="176"/>
      <c r="AW413" s="176"/>
      <c r="AX413" s="176"/>
      <c r="AY413" s="176"/>
      <c r="AZ413" s="176"/>
      <c r="BA413" s="176"/>
      <c r="BB413" s="176"/>
      <c r="BC413" s="176"/>
      <c r="BD413" s="176"/>
      <c r="BE413" s="176"/>
      <c r="BF413" s="176"/>
      <c r="BG413" s="176"/>
      <c r="BH413" s="176"/>
      <c r="BI413" s="176"/>
      <c r="BJ413" s="176"/>
      <c r="BK413" s="211"/>
      <c r="BL413" s="211"/>
      <c r="BV413" s="759"/>
      <c r="BW413" s="759"/>
    </row>
    <row r="414" spans="3:75" s="184" customFormat="1" ht="15">
      <c r="C414" s="211"/>
      <c r="G414" s="208"/>
      <c r="K414" s="248"/>
      <c r="O414" s="208"/>
      <c r="AI414" s="185"/>
      <c r="AJ414" s="185"/>
      <c r="AK414" s="185"/>
      <c r="AL414" s="185"/>
      <c r="AM414" s="185"/>
      <c r="AN414" s="185"/>
      <c r="AO414" s="209"/>
      <c r="AP414" s="185"/>
      <c r="AQ414" s="185"/>
      <c r="AR414" s="185"/>
      <c r="AS414" s="210"/>
      <c r="AT414" s="176"/>
      <c r="AU414" s="176"/>
      <c r="AV414" s="176"/>
      <c r="AW414" s="176"/>
      <c r="AX414" s="176"/>
      <c r="AY414" s="176"/>
      <c r="AZ414" s="176"/>
      <c r="BA414" s="176"/>
      <c r="BB414" s="176"/>
      <c r="BC414" s="176"/>
      <c r="BD414" s="176"/>
      <c r="BE414" s="176"/>
      <c r="BF414" s="176"/>
      <c r="BG414" s="176"/>
      <c r="BH414" s="176"/>
      <c r="BI414" s="176"/>
      <c r="BJ414" s="176"/>
      <c r="BK414" s="211"/>
      <c r="BL414" s="211"/>
      <c r="BV414" s="759"/>
      <c r="BW414" s="759"/>
    </row>
    <row r="415" spans="3:75" s="184" customFormat="1" ht="15">
      <c r="C415" s="211"/>
      <c r="G415" s="208"/>
      <c r="K415" s="248"/>
      <c r="O415" s="208"/>
      <c r="AI415" s="185"/>
      <c r="AJ415" s="185"/>
      <c r="AK415" s="185"/>
      <c r="AL415" s="185"/>
      <c r="AM415" s="185"/>
      <c r="AN415" s="185"/>
      <c r="AO415" s="209"/>
      <c r="AP415" s="185"/>
      <c r="AQ415" s="185"/>
      <c r="AR415" s="185"/>
      <c r="AS415" s="210"/>
      <c r="AT415" s="176"/>
      <c r="AU415" s="176"/>
      <c r="AV415" s="176"/>
      <c r="AW415" s="176"/>
      <c r="AX415" s="176"/>
      <c r="AY415" s="176"/>
      <c r="AZ415" s="176"/>
      <c r="BA415" s="176"/>
      <c r="BB415" s="176"/>
      <c r="BC415" s="176"/>
      <c r="BD415" s="176"/>
      <c r="BE415" s="176"/>
      <c r="BF415" s="176"/>
      <c r="BG415" s="176"/>
      <c r="BH415" s="176"/>
      <c r="BI415" s="176"/>
      <c r="BJ415" s="176"/>
      <c r="BK415" s="211"/>
      <c r="BL415" s="211"/>
      <c r="BV415" s="759"/>
      <c r="BW415" s="759"/>
    </row>
    <row r="416" spans="3:75" s="184" customFormat="1" ht="15">
      <c r="C416" s="211"/>
      <c r="G416" s="208"/>
      <c r="K416" s="248"/>
      <c r="O416" s="208"/>
      <c r="AI416" s="185"/>
      <c r="AJ416" s="185"/>
      <c r="AK416" s="185"/>
      <c r="AL416" s="185"/>
      <c r="AM416" s="185"/>
      <c r="AN416" s="185"/>
      <c r="AO416" s="209"/>
      <c r="AP416" s="185"/>
      <c r="AQ416" s="185"/>
      <c r="AR416" s="185"/>
      <c r="AS416" s="210"/>
      <c r="AT416" s="176"/>
      <c r="AU416" s="176"/>
      <c r="AV416" s="176"/>
      <c r="AW416" s="176"/>
      <c r="AX416" s="176"/>
      <c r="AY416" s="176"/>
      <c r="AZ416" s="176"/>
      <c r="BA416" s="176"/>
      <c r="BB416" s="176"/>
      <c r="BC416" s="176"/>
      <c r="BD416" s="176"/>
      <c r="BE416" s="176"/>
      <c r="BF416" s="176"/>
      <c r="BG416" s="176"/>
      <c r="BH416" s="176"/>
      <c r="BI416" s="176"/>
      <c r="BJ416" s="176"/>
      <c r="BK416" s="211"/>
      <c r="BL416" s="211"/>
      <c r="BV416" s="759"/>
      <c r="BW416" s="759"/>
    </row>
    <row r="417" spans="3:75" s="184" customFormat="1" ht="15">
      <c r="C417" s="211"/>
      <c r="G417" s="208"/>
      <c r="K417" s="248"/>
      <c r="O417" s="208"/>
      <c r="AI417" s="185"/>
      <c r="AJ417" s="185"/>
      <c r="AK417" s="185"/>
      <c r="AL417" s="185"/>
      <c r="AM417" s="185"/>
      <c r="AN417" s="185"/>
      <c r="AO417" s="209"/>
      <c r="AP417" s="185"/>
      <c r="AQ417" s="185"/>
      <c r="AR417" s="185"/>
      <c r="AS417" s="210"/>
      <c r="AT417" s="176"/>
      <c r="AU417" s="176"/>
      <c r="AV417" s="176"/>
      <c r="AW417" s="176"/>
      <c r="AX417" s="176"/>
      <c r="AY417" s="176"/>
      <c r="AZ417" s="176"/>
      <c r="BA417" s="176"/>
      <c r="BB417" s="176"/>
      <c r="BC417" s="176"/>
      <c r="BD417" s="176"/>
      <c r="BE417" s="176"/>
      <c r="BF417" s="176"/>
      <c r="BG417" s="176"/>
      <c r="BH417" s="176"/>
      <c r="BI417" s="176"/>
      <c r="BJ417" s="176"/>
      <c r="BK417" s="211"/>
      <c r="BL417" s="211"/>
      <c r="BV417" s="759"/>
      <c r="BW417" s="759"/>
    </row>
    <row r="418" spans="3:75" s="184" customFormat="1" ht="15">
      <c r="C418" s="211"/>
      <c r="G418" s="208"/>
      <c r="K418" s="248"/>
      <c r="O418" s="208"/>
      <c r="AI418" s="185"/>
      <c r="AJ418" s="185"/>
      <c r="AK418" s="185"/>
      <c r="AL418" s="185"/>
      <c r="AM418" s="185"/>
      <c r="AN418" s="185"/>
      <c r="AO418" s="209"/>
      <c r="AP418" s="185"/>
      <c r="AQ418" s="185"/>
      <c r="AR418" s="185"/>
      <c r="AS418" s="210"/>
      <c r="AT418" s="176"/>
      <c r="AU418" s="176"/>
      <c r="AV418" s="176"/>
      <c r="AW418" s="176"/>
      <c r="AX418" s="176"/>
      <c r="AY418" s="176"/>
      <c r="AZ418" s="176"/>
      <c r="BA418" s="176"/>
      <c r="BB418" s="176"/>
      <c r="BC418" s="176"/>
      <c r="BD418" s="176"/>
      <c r="BE418" s="176"/>
      <c r="BF418" s="176"/>
      <c r="BG418" s="176"/>
      <c r="BH418" s="176"/>
      <c r="BI418" s="176"/>
      <c r="BJ418" s="176"/>
      <c r="BK418" s="211"/>
      <c r="BL418" s="211"/>
      <c r="BV418" s="759"/>
      <c r="BW418" s="759"/>
    </row>
    <row r="419" spans="3:75" s="184" customFormat="1" ht="15">
      <c r="C419" s="211"/>
      <c r="G419" s="208"/>
      <c r="K419" s="248"/>
      <c r="O419" s="208"/>
      <c r="AI419" s="185"/>
      <c r="AJ419" s="185"/>
      <c r="AK419" s="185"/>
      <c r="AL419" s="185"/>
      <c r="AM419" s="185"/>
      <c r="AN419" s="185"/>
      <c r="AO419" s="209"/>
      <c r="AP419" s="185"/>
      <c r="AQ419" s="185"/>
      <c r="AR419" s="185"/>
      <c r="AS419" s="210"/>
      <c r="AT419" s="176"/>
      <c r="AU419" s="176"/>
      <c r="AV419" s="176"/>
      <c r="AW419" s="176"/>
      <c r="AX419" s="176"/>
      <c r="AY419" s="176"/>
      <c r="AZ419" s="176"/>
      <c r="BA419" s="176"/>
      <c r="BB419" s="176"/>
      <c r="BC419" s="176"/>
      <c r="BD419" s="176"/>
      <c r="BE419" s="176"/>
      <c r="BF419" s="176"/>
      <c r="BG419" s="176"/>
      <c r="BH419" s="176"/>
      <c r="BI419" s="176"/>
      <c r="BJ419" s="176"/>
      <c r="BK419" s="211"/>
      <c r="BL419" s="211"/>
      <c r="BV419" s="759"/>
      <c r="BW419" s="759"/>
    </row>
    <row r="420" spans="3:75" s="184" customFormat="1" ht="15">
      <c r="C420" s="211"/>
      <c r="G420" s="208"/>
      <c r="K420" s="248"/>
      <c r="O420" s="208"/>
      <c r="AI420" s="185"/>
      <c r="AJ420" s="185"/>
      <c r="AK420" s="185"/>
      <c r="AL420" s="185"/>
      <c r="AM420" s="185"/>
      <c r="AN420" s="185"/>
      <c r="AO420" s="209"/>
      <c r="AP420" s="185"/>
      <c r="AQ420" s="185"/>
      <c r="AR420" s="185"/>
      <c r="AS420" s="210"/>
      <c r="AT420" s="176"/>
      <c r="AU420" s="176"/>
      <c r="AV420" s="176"/>
      <c r="AW420" s="176"/>
      <c r="AX420" s="176"/>
      <c r="AY420" s="176"/>
      <c r="AZ420" s="176"/>
      <c r="BA420" s="176"/>
      <c r="BB420" s="176"/>
      <c r="BC420" s="176"/>
      <c r="BD420" s="176"/>
      <c r="BE420" s="176"/>
      <c r="BF420" s="176"/>
      <c r="BG420" s="176"/>
      <c r="BH420" s="176"/>
      <c r="BI420" s="176"/>
      <c r="BJ420" s="176"/>
      <c r="BK420" s="211"/>
      <c r="BL420" s="211"/>
      <c r="BV420" s="759"/>
      <c r="BW420" s="759"/>
    </row>
    <row r="421" spans="3:75" s="184" customFormat="1" ht="15">
      <c r="C421" s="211"/>
      <c r="G421" s="208"/>
      <c r="K421" s="248"/>
      <c r="O421" s="208"/>
      <c r="AI421" s="185"/>
      <c r="AJ421" s="185"/>
      <c r="AK421" s="185"/>
      <c r="AL421" s="185"/>
      <c r="AM421" s="185"/>
      <c r="AN421" s="185"/>
      <c r="AO421" s="209"/>
      <c r="AP421" s="185"/>
      <c r="AQ421" s="185"/>
      <c r="AR421" s="185"/>
      <c r="AS421" s="210"/>
      <c r="AT421" s="176"/>
      <c r="AU421" s="176"/>
      <c r="AV421" s="176"/>
      <c r="AW421" s="176"/>
      <c r="AX421" s="176"/>
      <c r="AY421" s="176"/>
      <c r="AZ421" s="176"/>
      <c r="BA421" s="176"/>
      <c r="BB421" s="176"/>
      <c r="BC421" s="176"/>
      <c r="BD421" s="176"/>
      <c r="BE421" s="176"/>
      <c r="BF421" s="176"/>
      <c r="BG421" s="176"/>
      <c r="BH421" s="176"/>
      <c r="BI421" s="176"/>
      <c r="BJ421" s="176"/>
      <c r="BK421" s="211"/>
      <c r="BL421" s="211"/>
      <c r="BV421" s="759"/>
      <c r="BW421" s="759"/>
    </row>
    <row r="422" spans="3:75" s="184" customFormat="1" ht="15">
      <c r="C422" s="211"/>
      <c r="G422" s="208"/>
      <c r="K422" s="248"/>
      <c r="O422" s="208"/>
      <c r="AI422" s="185"/>
      <c r="AJ422" s="185"/>
      <c r="AK422" s="185"/>
      <c r="AL422" s="185"/>
      <c r="AM422" s="185"/>
      <c r="AN422" s="185"/>
      <c r="AO422" s="209"/>
      <c r="AP422" s="185"/>
      <c r="AQ422" s="185"/>
      <c r="AR422" s="185"/>
      <c r="AS422" s="210"/>
      <c r="AT422" s="176"/>
      <c r="AU422" s="176"/>
      <c r="AV422" s="176"/>
      <c r="AW422" s="176"/>
      <c r="AX422" s="176"/>
      <c r="AY422" s="176"/>
      <c r="AZ422" s="176"/>
      <c r="BA422" s="176"/>
      <c r="BB422" s="176"/>
      <c r="BC422" s="176"/>
      <c r="BD422" s="176"/>
      <c r="BE422" s="176"/>
      <c r="BF422" s="176"/>
      <c r="BG422" s="176"/>
      <c r="BH422" s="176"/>
      <c r="BI422" s="176"/>
      <c r="BJ422" s="176"/>
      <c r="BK422" s="211"/>
      <c r="BL422" s="211"/>
      <c r="BV422" s="759"/>
      <c r="BW422" s="759"/>
    </row>
    <row r="423" spans="3:75" s="184" customFormat="1" ht="15">
      <c r="C423" s="211"/>
      <c r="G423" s="208"/>
      <c r="K423" s="248"/>
      <c r="O423" s="208"/>
      <c r="AI423" s="185"/>
      <c r="AJ423" s="185"/>
      <c r="AK423" s="185"/>
      <c r="AL423" s="185"/>
      <c r="AM423" s="185"/>
      <c r="AN423" s="185"/>
      <c r="AO423" s="209"/>
      <c r="AP423" s="185"/>
      <c r="AQ423" s="185"/>
      <c r="AR423" s="185"/>
      <c r="AS423" s="210"/>
      <c r="AT423" s="176"/>
      <c r="AU423" s="176"/>
      <c r="AV423" s="176"/>
      <c r="AW423" s="176"/>
      <c r="AX423" s="176"/>
      <c r="AY423" s="176"/>
      <c r="AZ423" s="176"/>
      <c r="BA423" s="176"/>
      <c r="BB423" s="176"/>
      <c r="BC423" s="176"/>
      <c r="BD423" s="176"/>
      <c r="BE423" s="176"/>
      <c r="BF423" s="176"/>
      <c r="BG423" s="176"/>
      <c r="BH423" s="176"/>
      <c r="BI423" s="176"/>
      <c r="BJ423" s="176"/>
      <c r="BK423" s="211"/>
      <c r="BL423" s="211"/>
      <c r="BV423" s="759"/>
      <c r="BW423" s="759"/>
    </row>
    <row r="424" spans="3:75" s="184" customFormat="1" ht="15">
      <c r="C424" s="211"/>
      <c r="G424" s="208"/>
      <c r="K424" s="248"/>
      <c r="O424" s="208"/>
      <c r="AI424" s="185"/>
      <c r="AJ424" s="185"/>
      <c r="AK424" s="185"/>
      <c r="AL424" s="185"/>
      <c r="AM424" s="185"/>
      <c r="AN424" s="185"/>
      <c r="AO424" s="209"/>
      <c r="AP424" s="185"/>
      <c r="AQ424" s="185"/>
      <c r="AR424" s="185"/>
      <c r="AS424" s="210"/>
      <c r="AT424" s="176"/>
      <c r="AU424" s="176"/>
      <c r="AV424" s="176"/>
      <c r="AW424" s="176"/>
      <c r="AX424" s="176"/>
      <c r="AY424" s="176"/>
      <c r="AZ424" s="176"/>
      <c r="BA424" s="176"/>
      <c r="BB424" s="176"/>
      <c r="BC424" s="176"/>
      <c r="BD424" s="176"/>
      <c r="BE424" s="176"/>
      <c r="BF424" s="176"/>
      <c r="BG424" s="176"/>
      <c r="BH424" s="176"/>
      <c r="BI424" s="176"/>
      <c r="BJ424" s="176"/>
      <c r="BK424" s="211"/>
      <c r="BL424" s="211"/>
      <c r="BV424" s="759"/>
      <c r="BW424" s="759"/>
    </row>
    <row r="425" spans="3:75" s="184" customFormat="1" ht="15">
      <c r="C425" s="211"/>
      <c r="G425" s="208"/>
      <c r="K425" s="248"/>
      <c r="O425" s="208"/>
      <c r="AI425" s="185"/>
      <c r="AJ425" s="185"/>
      <c r="AK425" s="185"/>
      <c r="AL425" s="185"/>
      <c r="AM425" s="185"/>
      <c r="AN425" s="185"/>
      <c r="AO425" s="209"/>
      <c r="AP425" s="185"/>
      <c r="AQ425" s="185"/>
      <c r="AR425" s="185"/>
      <c r="AS425" s="210"/>
      <c r="AT425" s="176"/>
      <c r="AU425" s="176"/>
      <c r="AV425" s="176"/>
      <c r="AW425" s="176"/>
      <c r="AX425" s="176"/>
      <c r="AY425" s="176"/>
      <c r="AZ425" s="176"/>
      <c r="BA425" s="176"/>
      <c r="BB425" s="176"/>
      <c r="BC425" s="176"/>
      <c r="BD425" s="176"/>
      <c r="BE425" s="176"/>
      <c r="BF425" s="176"/>
      <c r="BG425" s="176"/>
      <c r="BH425" s="176"/>
      <c r="BI425" s="176"/>
      <c r="BJ425" s="176"/>
      <c r="BK425" s="211"/>
      <c r="BL425" s="211"/>
      <c r="BV425" s="759"/>
      <c r="BW425" s="759"/>
    </row>
    <row r="426" spans="3:75" s="184" customFormat="1" ht="15">
      <c r="C426" s="211"/>
      <c r="G426" s="208"/>
      <c r="K426" s="248"/>
      <c r="O426" s="208"/>
      <c r="AI426" s="185"/>
      <c r="AJ426" s="185"/>
      <c r="AK426" s="185"/>
      <c r="AL426" s="185"/>
      <c r="AM426" s="185"/>
      <c r="AN426" s="185"/>
      <c r="AO426" s="209"/>
      <c r="AP426" s="185"/>
      <c r="AQ426" s="185"/>
      <c r="AR426" s="185"/>
      <c r="AS426" s="210"/>
      <c r="AT426" s="176"/>
      <c r="AU426" s="176"/>
      <c r="AV426" s="176"/>
      <c r="AW426" s="176"/>
      <c r="AX426" s="176"/>
      <c r="AY426" s="176"/>
      <c r="AZ426" s="176"/>
      <c r="BA426" s="176"/>
      <c r="BB426" s="176"/>
      <c r="BC426" s="176"/>
      <c r="BD426" s="176"/>
      <c r="BE426" s="176"/>
      <c r="BF426" s="176"/>
      <c r="BG426" s="176"/>
      <c r="BH426" s="176"/>
      <c r="BI426" s="176"/>
      <c r="BJ426" s="176"/>
      <c r="BK426" s="211"/>
      <c r="BL426" s="211"/>
      <c r="BV426" s="759"/>
      <c r="BW426" s="759"/>
    </row>
    <row r="427" spans="3:75" s="184" customFormat="1" ht="15">
      <c r="C427" s="211"/>
      <c r="G427" s="208"/>
      <c r="K427" s="248"/>
      <c r="O427" s="208"/>
      <c r="AI427" s="185"/>
      <c r="AJ427" s="185"/>
      <c r="AK427" s="185"/>
      <c r="AL427" s="185"/>
      <c r="AM427" s="185"/>
      <c r="AN427" s="185"/>
      <c r="AO427" s="209"/>
      <c r="AP427" s="185"/>
      <c r="AQ427" s="185"/>
      <c r="AR427" s="185"/>
      <c r="AS427" s="210"/>
      <c r="AT427" s="176"/>
      <c r="AU427" s="176"/>
      <c r="AV427" s="176"/>
      <c r="AW427" s="176"/>
      <c r="AX427" s="176"/>
      <c r="AY427" s="176"/>
      <c r="AZ427" s="176"/>
      <c r="BA427" s="176"/>
      <c r="BB427" s="176"/>
      <c r="BC427" s="176"/>
      <c r="BD427" s="176"/>
      <c r="BE427" s="176"/>
      <c r="BF427" s="176"/>
      <c r="BG427" s="176"/>
      <c r="BH427" s="176"/>
      <c r="BI427" s="176"/>
      <c r="BJ427" s="176"/>
      <c r="BK427" s="211"/>
      <c r="BL427" s="211"/>
      <c r="BV427" s="759"/>
      <c r="BW427" s="759"/>
    </row>
    <row r="428" spans="3:75" s="184" customFormat="1" ht="15">
      <c r="C428" s="211"/>
      <c r="G428" s="208"/>
      <c r="K428" s="248"/>
      <c r="O428" s="208"/>
      <c r="AI428" s="185"/>
      <c r="AJ428" s="185"/>
      <c r="AK428" s="185"/>
      <c r="AL428" s="185"/>
      <c r="AM428" s="185"/>
      <c r="AN428" s="185"/>
      <c r="AO428" s="209"/>
      <c r="AP428" s="185"/>
      <c r="AQ428" s="185"/>
      <c r="AR428" s="185"/>
      <c r="AS428" s="210"/>
      <c r="AT428" s="176"/>
      <c r="AU428" s="176"/>
      <c r="AV428" s="176"/>
      <c r="AW428" s="176"/>
      <c r="AX428" s="176"/>
      <c r="AY428" s="176"/>
      <c r="AZ428" s="176"/>
      <c r="BA428" s="176"/>
      <c r="BB428" s="176"/>
      <c r="BC428" s="176"/>
      <c r="BD428" s="176"/>
      <c r="BE428" s="176"/>
      <c r="BF428" s="176"/>
      <c r="BG428" s="176"/>
      <c r="BH428" s="176"/>
      <c r="BI428" s="176"/>
      <c r="BJ428" s="176"/>
      <c r="BK428" s="211"/>
      <c r="BL428" s="211"/>
      <c r="BV428" s="759"/>
      <c r="BW428" s="759"/>
    </row>
    <row r="429" spans="3:75" s="184" customFormat="1" ht="15">
      <c r="C429" s="211"/>
      <c r="G429" s="208"/>
      <c r="K429" s="248"/>
      <c r="O429" s="208"/>
      <c r="AI429" s="185"/>
      <c r="AJ429" s="185"/>
      <c r="AK429" s="185"/>
      <c r="AL429" s="185"/>
      <c r="AM429" s="185"/>
      <c r="AN429" s="185"/>
      <c r="AO429" s="209"/>
      <c r="AP429" s="185"/>
      <c r="AQ429" s="185"/>
      <c r="AR429" s="185"/>
      <c r="AS429" s="210"/>
      <c r="AT429" s="176"/>
      <c r="AU429" s="176"/>
      <c r="AV429" s="176"/>
      <c r="AW429" s="176"/>
      <c r="AX429" s="176"/>
      <c r="AY429" s="176"/>
      <c r="AZ429" s="176"/>
      <c r="BA429" s="176"/>
      <c r="BB429" s="176"/>
      <c r="BC429" s="176"/>
      <c r="BD429" s="176"/>
      <c r="BE429" s="176"/>
      <c r="BF429" s="176"/>
      <c r="BG429" s="176"/>
      <c r="BH429" s="176"/>
      <c r="BI429" s="176"/>
      <c r="BJ429" s="176"/>
      <c r="BK429" s="211"/>
      <c r="BL429" s="211"/>
      <c r="BV429" s="759"/>
      <c r="BW429" s="759"/>
    </row>
    <row r="430" spans="3:75" s="184" customFormat="1" ht="15">
      <c r="C430" s="211"/>
      <c r="G430" s="208"/>
      <c r="K430" s="248"/>
      <c r="O430" s="208"/>
      <c r="AI430" s="185"/>
      <c r="AJ430" s="185"/>
      <c r="AK430" s="185"/>
      <c r="AL430" s="185"/>
      <c r="AM430" s="185"/>
      <c r="AN430" s="185"/>
      <c r="AO430" s="209"/>
      <c r="AP430" s="185"/>
      <c r="AQ430" s="185"/>
      <c r="AR430" s="185"/>
      <c r="AS430" s="210"/>
      <c r="AT430" s="176"/>
      <c r="AU430" s="176"/>
      <c r="AV430" s="176"/>
      <c r="AW430" s="176"/>
      <c r="AX430" s="176"/>
      <c r="AY430" s="176"/>
      <c r="AZ430" s="176"/>
      <c r="BA430" s="176"/>
      <c r="BB430" s="176"/>
      <c r="BC430" s="176"/>
      <c r="BD430" s="176"/>
      <c r="BE430" s="176"/>
      <c r="BF430" s="176"/>
      <c r="BG430" s="176"/>
      <c r="BH430" s="176"/>
      <c r="BI430" s="176"/>
      <c r="BJ430" s="176"/>
      <c r="BK430" s="211"/>
      <c r="BL430" s="211"/>
      <c r="BV430" s="759"/>
      <c r="BW430" s="759"/>
    </row>
    <row r="431" spans="3:75" s="184" customFormat="1" ht="15">
      <c r="C431" s="211"/>
      <c r="G431" s="208"/>
      <c r="K431" s="248"/>
      <c r="O431" s="208"/>
      <c r="AI431" s="185"/>
      <c r="AJ431" s="185"/>
      <c r="AK431" s="185"/>
      <c r="AL431" s="185"/>
      <c r="AM431" s="185"/>
      <c r="AN431" s="185"/>
      <c r="AO431" s="209"/>
      <c r="AP431" s="185"/>
      <c r="AQ431" s="185"/>
      <c r="AR431" s="185"/>
      <c r="AS431" s="210"/>
      <c r="AT431" s="176"/>
      <c r="AU431" s="176"/>
      <c r="AV431" s="176"/>
      <c r="AW431" s="176"/>
      <c r="AX431" s="176"/>
      <c r="AY431" s="176"/>
      <c r="AZ431" s="176"/>
      <c r="BA431" s="176"/>
      <c r="BB431" s="176"/>
      <c r="BC431" s="176"/>
      <c r="BD431" s="176"/>
      <c r="BE431" s="176"/>
      <c r="BF431" s="176"/>
      <c r="BG431" s="176"/>
      <c r="BH431" s="176"/>
      <c r="BI431" s="176"/>
      <c r="BJ431" s="176"/>
      <c r="BK431" s="211"/>
      <c r="BL431" s="211"/>
      <c r="BV431" s="759"/>
      <c r="BW431" s="759"/>
    </row>
    <row r="432" spans="3:75" s="184" customFormat="1" ht="15">
      <c r="C432" s="211"/>
      <c r="G432" s="208"/>
      <c r="K432" s="248"/>
      <c r="O432" s="208"/>
      <c r="AI432" s="185"/>
      <c r="AJ432" s="185"/>
      <c r="AK432" s="185"/>
      <c r="AL432" s="185"/>
      <c r="AM432" s="185"/>
      <c r="AN432" s="185"/>
      <c r="AO432" s="209"/>
      <c r="AP432" s="185"/>
      <c r="AQ432" s="185"/>
      <c r="AR432" s="185"/>
      <c r="AS432" s="210"/>
      <c r="AT432" s="176"/>
      <c r="AU432" s="176"/>
      <c r="AV432" s="176"/>
      <c r="AW432" s="176"/>
      <c r="AX432" s="176"/>
      <c r="AY432" s="176"/>
      <c r="AZ432" s="176"/>
      <c r="BA432" s="176"/>
      <c r="BB432" s="176"/>
      <c r="BC432" s="176"/>
      <c r="BD432" s="176"/>
      <c r="BE432" s="176"/>
      <c r="BF432" s="176"/>
      <c r="BG432" s="176"/>
      <c r="BH432" s="176"/>
      <c r="BI432" s="176"/>
      <c r="BJ432" s="176"/>
      <c r="BK432" s="211"/>
      <c r="BL432" s="211"/>
      <c r="BV432" s="759"/>
      <c r="BW432" s="759"/>
    </row>
    <row r="433" spans="3:75" s="184" customFormat="1" ht="15">
      <c r="C433" s="211"/>
      <c r="G433" s="208"/>
      <c r="K433" s="248"/>
      <c r="O433" s="208"/>
      <c r="AI433" s="185"/>
      <c r="AJ433" s="185"/>
      <c r="AK433" s="185"/>
      <c r="AL433" s="185"/>
      <c r="AM433" s="185"/>
      <c r="AN433" s="185"/>
      <c r="AO433" s="209"/>
      <c r="AP433" s="185"/>
      <c r="AQ433" s="185"/>
      <c r="AR433" s="185"/>
      <c r="AS433" s="210"/>
      <c r="AT433" s="176"/>
      <c r="AU433" s="176"/>
      <c r="AV433" s="176"/>
      <c r="AW433" s="176"/>
      <c r="AX433" s="176"/>
      <c r="AY433" s="176"/>
      <c r="AZ433" s="176"/>
      <c r="BA433" s="176"/>
      <c r="BB433" s="176"/>
      <c r="BC433" s="176"/>
      <c r="BD433" s="176"/>
      <c r="BE433" s="176"/>
      <c r="BF433" s="176"/>
      <c r="BG433" s="176"/>
      <c r="BH433" s="176"/>
      <c r="BI433" s="176"/>
      <c r="BJ433" s="176"/>
      <c r="BK433" s="211"/>
      <c r="BL433" s="211"/>
      <c r="BV433" s="759"/>
      <c r="BW433" s="759"/>
    </row>
    <row r="434" spans="3:75" s="184" customFormat="1" ht="15">
      <c r="C434" s="211"/>
      <c r="G434" s="208"/>
      <c r="K434" s="248"/>
      <c r="O434" s="208"/>
      <c r="AI434" s="185"/>
      <c r="AJ434" s="185"/>
      <c r="AK434" s="185"/>
      <c r="AL434" s="185"/>
      <c r="AM434" s="185"/>
      <c r="AN434" s="185"/>
      <c r="AO434" s="209"/>
      <c r="AP434" s="185"/>
      <c r="AQ434" s="185"/>
      <c r="AR434" s="185"/>
      <c r="AS434" s="210"/>
      <c r="AT434" s="176"/>
      <c r="AU434" s="176"/>
      <c r="AV434" s="176"/>
      <c r="AW434" s="176"/>
      <c r="AX434" s="176"/>
      <c r="AY434" s="176"/>
      <c r="AZ434" s="176"/>
      <c r="BA434" s="176"/>
      <c r="BB434" s="176"/>
      <c r="BC434" s="176"/>
      <c r="BD434" s="176"/>
      <c r="BE434" s="176"/>
      <c r="BF434" s="176"/>
      <c r="BG434" s="176"/>
      <c r="BH434" s="176"/>
      <c r="BI434" s="176"/>
      <c r="BJ434" s="176"/>
      <c r="BK434" s="211"/>
      <c r="BL434" s="211"/>
      <c r="BV434" s="759"/>
      <c r="BW434" s="759"/>
    </row>
    <row r="435" spans="3:75" s="184" customFormat="1" ht="15">
      <c r="C435" s="211"/>
      <c r="G435" s="208"/>
      <c r="K435" s="248"/>
      <c r="O435" s="208"/>
      <c r="AI435" s="185"/>
      <c r="AJ435" s="185"/>
      <c r="AK435" s="185"/>
      <c r="AL435" s="185"/>
      <c r="AM435" s="185"/>
      <c r="AN435" s="185"/>
      <c r="AO435" s="209"/>
      <c r="AP435" s="185"/>
      <c r="AQ435" s="185"/>
      <c r="AR435" s="185"/>
      <c r="AS435" s="210"/>
      <c r="AT435" s="176"/>
      <c r="AU435" s="176"/>
      <c r="AV435" s="176"/>
      <c r="AW435" s="176"/>
      <c r="AX435" s="176"/>
      <c r="AY435" s="176"/>
      <c r="AZ435" s="176"/>
      <c r="BA435" s="176"/>
      <c r="BB435" s="176"/>
      <c r="BC435" s="176"/>
      <c r="BD435" s="176"/>
      <c r="BE435" s="176"/>
      <c r="BF435" s="176"/>
      <c r="BG435" s="176"/>
      <c r="BH435" s="176"/>
      <c r="BI435" s="176"/>
      <c r="BJ435" s="176"/>
      <c r="BK435" s="211"/>
      <c r="BL435" s="211"/>
      <c r="BV435" s="759"/>
      <c r="BW435" s="759"/>
    </row>
    <row r="436" spans="3:75" s="184" customFormat="1" ht="15">
      <c r="C436" s="211"/>
      <c r="G436" s="208"/>
      <c r="K436" s="248"/>
      <c r="O436" s="208"/>
      <c r="AI436" s="185"/>
      <c r="AJ436" s="185"/>
      <c r="AK436" s="185"/>
      <c r="AL436" s="185"/>
      <c r="AM436" s="185"/>
      <c r="AN436" s="185"/>
      <c r="AO436" s="209"/>
      <c r="AP436" s="185"/>
      <c r="AQ436" s="185"/>
      <c r="AR436" s="185"/>
      <c r="AS436" s="210"/>
      <c r="AT436" s="176"/>
      <c r="AU436" s="176"/>
      <c r="AV436" s="176"/>
      <c r="AW436" s="176"/>
      <c r="AX436" s="176"/>
      <c r="AY436" s="176"/>
      <c r="AZ436" s="176"/>
      <c r="BA436" s="176"/>
      <c r="BB436" s="176"/>
      <c r="BC436" s="176"/>
      <c r="BD436" s="176"/>
      <c r="BE436" s="176"/>
      <c r="BF436" s="176"/>
      <c r="BG436" s="176"/>
      <c r="BH436" s="176"/>
      <c r="BI436" s="176"/>
      <c r="BJ436" s="176"/>
      <c r="BK436" s="211"/>
      <c r="BL436" s="211"/>
      <c r="BV436" s="759"/>
      <c r="BW436" s="759"/>
    </row>
    <row r="437" spans="3:22" ht="15">
      <c r="C437" s="118"/>
      <c r="D437" s="25"/>
      <c r="E437" s="25"/>
      <c r="F437" s="25"/>
      <c r="G437" s="104"/>
      <c r="H437" s="25"/>
      <c r="I437" s="25"/>
      <c r="J437" s="25"/>
      <c r="L437" s="25"/>
      <c r="O437" s="104"/>
      <c r="P437" s="19"/>
      <c r="Q437" s="19"/>
      <c r="R437" s="19"/>
      <c r="S437" s="19"/>
      <c r="T437" s="19"/>
      <c r="U437" s="19"/>
      <c r="V437" s="19"/>
    </row>
    <row r="438" spans="3:22" ht="15">
      <c r="C438" s="118"/>
      <c r="D438" s="25"/>
      <c r="E438" s="25"/>
      <c r="F438" s="25"/>
      <c r="G438" s="104"/>
      <c r="H438" s="25"/>
      <c r="I438" s="25"/>
      <c r="J438" s="25"/>
      <c r="L438" s="25"/>
      <c r="O438" s="104"/>
      <c r="P438" s="19"/>
      <c r="Q438" s="19"/>
      <c r="R438" s="19"/>
      <c r="S438" s="19"/>
      <c r="T438" s="19"/>
      <c r="U438" s="19"/>
      <c r="V438" s="19"/>
    </row>
    <row r="439" spans="3:22" ht="15">
      <c r="C439" s="118"/>
      <c r="D439" s="25"/>
      <c r="E439" s="25"/>
      <c r="F439" s="25"/>
      <c r="G439" s="104"/>
      <c r="H439" s="25"/>
      <c r="I439" s="25"/>
      <c r="J439" s="25"/>
      <c r="L439" s="25"/>
      <c r="O439" s="104"/>
      <c r="P439" s="19"/>
      <c r="Q439" s="19"/>
      <c r="R439" s="19"/>
      <c r="S439" s="19"/>
      <c r="T439" s="19"/>
      <c r="U439" s="19"/>
      <c r="V439" s="19"/>
    </row>
    <row r="440" spans="3:22" ht="15">
      <c r="C440" s="118"/>
      <c r="D440" s="25"/>
      <c r="E440" s="25"/>
      <c r="F440" s="25"/>
      <c r="G440" s="104"/>
      <c r="H440" s="25"/>
      <c r="I440" s="25"/>
      <c r="J440" s="25"/>
      <c r="L440" s="25"/>
      <c r="O440" s="104"/>
      <c r="P440" s="19"/>
      <c r="Q440" s="19"/>
      <c r="R440" s="19"/>
      <c r="S440" s="19"/>
      <c r="T440" s="19"/>
      <c r="U440" s="19"/>
      <c r="V440" s="19"/>
    </row>
    <row r="441" spans="3:22" ht="15">
      <c r="C441" s="118"/>
      <c r="D441" s="25"/>
      <c r="E441" s="25"/>
      <c r="F441" s="25"/>
      <c r="G441" s="104"/>
      <c r="H441" s="25"/>
      <c r="I441" s="25"/>
      <c r="J441" s="25"/>
      <c r="L441" s="25"/>
      <c r="O441" s="104"/>
      <c r="P441" s="19"/>
      <c r="Q441" s="19"/>
      <c r="R441" s="19"/>
      <c r="S441" s="19"/>
      <c r="T441" s="19"/>
      <c r="U441" s="19"/>
      <c r="V441" s="19"/>
    </row>
    <row r="442" spans="3:22" ht="15">
      <c r="C442" s="118"/>
      <c r="D442" s="25"/>
      <c r="E442" s="25"/>
      <c r="F442" s="25"/>
      <c r="G442" s="104"/>
      <c r="H442" s="25"/>
      <c r="I442" s="25"/>
      <c r="J442" s="25"/>
      <c r="L442" s="25"/>
      <c r="O442" s="104"/>
      <c r="P442" s="19"/>
      <c r="Q442" s="19"/>
      <c r="R442" s="19"/>
      <c r="S442" s="19"/>
      <c r="T442" s="19"/>
      <c r="U442" s="19"/>
      <c r="V442" s="19"/>
    </row>
    <row r="443" spans="3:22" ht="15">
      <c r="C443" s="118"/>
      <c r="D443" s="25"/>
      <c r="E443" s="25"/>
      <c r="F443" s="25"/>
      <c r="G443" s="104"/>
      <c r="H443" s="25"/>
      <c r="I443" s="25"/>
      <c r="J443" s="25"/>
      <c r="L443" s="25"/>
      <c r="O443" s="104"/>
      <c r="P443" s="19"/>
      <c r="Q443" s="19"/>
      <c r="R443" s="19"/>
      <c r="S443" s="19"/>
      <c r="T443" s="19"/>
      <c r="U443" s="19"/>
      <c r="V443" s="19"/>
    </row>
    <row r="444" spans="3:22" ht="15">
      <c r="C444" s="118"/>
      <c r="D444" s="25"/>
      <c r="E444" s="25"/>
      <c r="F444" s="25"/>
      <c r="G444" s="104"/>
      <c r="H444" s="25"/>
      <c r="I444" s="25"/>
      <c r="J444" s="25"/>
      <c r="L444" s="25"/>
      <c r="O444" s="104"/>
      <c r="P444" s="19"/>
      <c r="Q444" s="19"/>
      <c r="R444" s="19"/>
      <c r="S444" s="19"/>
      <c r="T444" s="19"/>
      <c r="U444" s="19"/>
      <c r="V444" s="19"/>
    </row>
    <row r="445" spans="3:22" ht="15">
      <c r="C445" s="118"/>
      <c r="D445" s="25"/>
      <c r="E445" s="25"/>
      <c r="F445" s="25"/>
      <c r="G445" s="104"/>
      <c r="H445" s="25"/>
      <c r="I445" s="25"/>
      <c r="J445" s="25"/>
      <c r="L445" s="25"/>
      <c r="O445" s="104"/>
      <c r="P445" s="19"/>
      <c r="Q445" s="19"/>
      <c r="R445" s="19"/>
      <c r="S445" s="19"/>
      <c r="T445" s="19"/>
      <c r="U445" s="19"/>
      <c r="V445" s="19"/>
    </row>
    <row r="446" spans="3:22" ht="15">
      <c r="C446" s="118"/>
      <c r="D446" s="25"/>
      <c r="E446" s="25"/>
      <c r="F446" s="25"/>
      <c r="G446" s="104"/>
      <c r="H446" s="25"/>
      <c r="I446" s="25"/>
      <c r="J446" s="25"/>
      <c r="L446" s="25"/>
      <c r="O446" s="104"/>
      <c r="P446" s="19"/>
      <c r="Q446" s="19"/>
      <c r="R446" s="19"/>
      <c r="S446" s="19"/>
      <c r="T446" s="19"/>
      <c r="U446" s="19"/>
      <c r="V446" s="19"/>
    </row>
    <row r="447" spans="3:22" ht="15">
      <c r="C447" s="118"/>
      <c r="D447" s="25"/>
      <c r="E447" s="25"/>
      <c r="F447" s="25"/>
      <c r="G447" s="104"/>
      <c r="H447" s="25"/>
      <c r="I447" s="25"/>
      <c r="J447" s="25"/>
      <c r="L447" s="25"/>
      <c r="O447" s="104"/>
      <c r="P447" s="19"/>
      <c r="Q447" s="19"/>
      <c r="R447" s="19"/>
      <c r="S447" s="19"/>
      <c r="T447" s="19"/>
      <c r="U447" s="19"/>
      <c r="V447" s="19"/>
    </row>
    <row r="448" spans="3:22" ht="15">
      <c r="C448" s="118"/>
      <c r="D448" s="25"/>
      <c r="E448" s="25"/>
      <c r="F448" s="25"/>
      <c r="G448" s="104"/>
      <c r="H448" s="25"/>
      <c r="I448" s="25"/>
      <c r="J448" s="25"/>
      <c r="L448" s="25"/>
      <c r="O448" s="104"/>
      <c r="P448" s="19"/>
      <c r="Q448" s="19"/>
      <c r="R448" s="19"/>
      <c r="S448" s="19"/>
      <c r="T448" s="19"/>
      <c r="U448" s="19"/>
      <c r="V448" s="19"/>
    </row>
    <row r="449" spans="3:22" ht="15">
      <c r="C449" s="118"/>
      <c r="D449" s="25"/>
      <c r="E449" s="25"/>
      <c r="F449" s="25"/>
      <c r="G449" s="104"/>
      <c r="H449" s="25"/>
      <c r="I449" s="25"/>
      <c r="J449" s="25"/>
      <c r="L449" s="25"/>
      <c r="O449" s="104"/>
      <c r="P449" s="19"/>
      <c r="Q449" s="19"/>
      <c r="R449" s="19"/>
      <c r="S449" s="19"/>
      <c r="T449" s="19"/>
      <c r="U449" s="19"/>
      <c r="V449" s="19"/>
    </row>
    <row r="450" spans="3:22" ht="15">
      <c r="C450" s="118"/>
      <c r="D450" s="25"/>
      <c r="E450" s="25"/>
      <c r="F450" s="25"/>
      <c r="G450" s="104"/>
      <c r="H450" s="25"/>
      <c r="I450" s="25"/>
      <c r="J450" s="25"/>
      <c r="L450" s="25"/>
      <c r="O450" s="104"/>
      <c r="P450" s="19"/>
      <c r="Q450" s="19"/>
      <c r="R450" s="19"/>
      <c r="S450" s="19"/>
      <c r="T450" s="19"/>
      <c r="U450" s="19"/>
      <c r="V450" s="19"/>
    </row>
    <row r="451" spans="3:22" ht="15">
      <c r="C451" s="118"/>
      <c r="D451" s="25"/>
      <c r="E451" s="25"/>
      <c r="F451" s="25"/>
      <c r="G451" s="104"/>
      <c r="H451" s="25"/>
      <c r="I451" s="25"/>
      <c r="J451" s="25"/>
      <c r="L451" s="25"/>
      <c r="O451" s="104"/>
      <c r="P451" s="19"/>
      <c r="Q451" s="19"/>
      <c r="R451" s="19"/>
      <c r="S451" s="19"/>
      <c r="T451" s="19"/>
      <c r="U451" s="19"/>
      <c r="V451" s="19"/>
    </row>
    <row r="452" spans="3:22" ht="15">
      <c r="C452" s="118"/>
      <c r="D452" s="25"/>
      <c r="E452" s="25"/>
      <c r="F452" s="25"/>
      <c r="G452" s="104"/>
      <c r="H452" s="25"/>
      <c r="I452" s="25"/>
      <c r="J452" s="25"/>
      <c r="L452" s="25"/>
      <c r="O452" s="104"/>
      <c r="P452" s="19"/>
      <c r="Q452" s="19"/>
      <c r="R452" s="19"/>
      <c r="S452" s="19"/>
      <c r="T452" s="19"/>
      <c r="U452" s="19"/>
      <c r="V452" s="19"/>
    </row>
    <row r="453" spans="3:22" ht="15">
      <c r="C453" s="118"/>
      <c r="D453" s="25"/>
      <c r="E453" s="25"/>
      <c r="F453" s="25"/>
      <c r="G453" s="104"/>
      <c r="H453" s="25"/>
      <c r="I453" s="25"/>
      <c r="J453" s="25"/>
      <c r="L453" s="25"/>
      <c r="O453" s="104"/>
      <c r="P453" s="19"/>
      <c r="Q453" s="19"/>
      <c r="R453" s="19"/>
      <c r="S453" s="19"/>
      <c r="T453" s="19"/>
      <c r="U453" s="19"/>
      <c r="V453" s="19"/>
    </row>
    <row r="454" spans="3:22" ht="15">
      <c r="C454" s="118"/>
      <c r="D454" s="25"/>
      <c r="E454" s="25"/>
      <c r="F454" s="25"/>
      <c r="G454" s="104"/>
      <c r="H454" s="25"/>
      <c r="I454" s="25"/>
      <c r="J454" s="25"/>
      <c r="L454" s="25"/>
      <c r="O454" s="104"/>
      <c r="P454" s="19"/>
      <c r="Q454" s="19"/>
      <c r="R454" s="19"/>
      <c r="S454" s="19"/>
      <c r="T454" s="19"/>
      <c r="U454" s="19"/>
      <c r="V454" s="19"/>
    </row>
    <row r="455" spans="3:22" ht="15">
      <c r="C455" s="118"/>
      <c r="D455" s="25"/>
      <c r="E455" s="25"/>
      <c r="F455" s="25"/>
      <c r="G455" s="104"/>
      <c r="H455" s="25"/>
      <c r="I455" s="25"/>
      <c r="J455" s="25"/>
      <c r="L455" s="25"/>
      <c r="O455" s="104"/>
      <c r="P455" s="19"/>
      <c r="Q455" s="19"/>
      <c r="R455" s="19"/>
      <c r="S455" s="19"/>
      <c r="T455" s="19"/>
      <c r="U455" s="19"/>
      <c r="V455" s="19"/>
    </row>
    <row r="456" spans="3:22" ht="15">
      <c r="C456" s="118"/>
      <c r="D456" s="25"/>
      <c r="E456" s="25"/>
      <c r="F456" s="25"/>
      <c r="G456" s="104"/>
      <c r="H456" s="25"/>
      <c r="I456" s="25"/>
      <c r="J456" s="25"/>
      <c r="L456" s="25"/>
      <c r="O456" s="104"/>
      <c r="P456" s="19"/>
      <c r="Q456" s="19"/>
      <c r="R456" s="19"/>
      <c r="S456" s="19"/>
      <c r="T456" s="19"/>
      <c r="U456" s="19"/>
      <c r="V456" s="19"/>
    </row>
    <row r="457" spans="3:22" ht="15">
      <c r="C457" s="118"/>
      <c r="D457" s="25"/>
      <c r="E457" s="25"/>
      <c r="F457" s="25"/>
      <c r="G457" s="104"/>
      <c r="H457" s="25"/>
      <c r="I457" s="25"/>
      <c r="J457" s="25"/>
      <c r="L457" s="25"/>
      <c r="O457" s="104"/>
      <c r="P457" s="19"/>
      <c r="Q457" s="19"/>
      <c r="R457" s="19"/>
      <c r="S457" s="19"/>
      <c r="T457" s="19"/>
      <c r="U457" s="19"/>
      <c r="V457" s="19"/>
    </row>
    <row r="458" spans="3:22" ht="15">
      <c r="C458" s="118"/>
      <c r="D458" s="25"/>
      <c r="E458" s="25"/>
      <c r="F458" s="25"/>
      <c r="G458" s="104"/>
      <c r="H458" s="25"/>
      <c r="I458" s="25"/>
      <c r="J458" s="25"/>
      <c r="L458" s="25"/>
      <c r="O458" s="104"/>
      <c r="P458" s="19"/>
      <c r="Q458" s="19"/>
      <c r="R458" s="19"/>
      <c r="S458" s="19"/>
      <c r="T458" s="19"/>
      <c r="U458" s="19"/>
      <c r="V458" s="19"/>
    </row>
    <row r="459" spans="3:22" ht="15">
      <c r="C459" s="118"/>
      <c r="D459" s="25"/>
      <c r="E459" s="25"/>
      <c r="F459" s="25"/>
      <c r="G459" s="104"/>
      <c r="H459" s="25"/>
      <c r="I459" s="25"/>
      <c r="J459" s="25"/>
      <c r="L459" s="25"/>
      <c r="O459" s="104"/>
      <c r="P459" s="19"/>
      <c r="Q459" s="19"/>
      <c r="R459" s="19"/>
      <c r="S459" s="19"/>
      <c r="T459" s="19"/>
      <c r="U459" s="19"/>
      <c r="V459" s="19"/>
    </row>
    <row r="460" spans="3:22" ht="15">
      <c r="C460" s="118"/>
      <c r="D460" s="25"/>
      <c r="E460" s="25"/>
      <c r="F460" s="25"/>
      <c r="G460" s="104"/>
      <c r="H460" s="25"/>
      <c r="I460" s="25"/>
      <c r="J460" s="25"/>
      <c r="L460" s="25"/>
      <c r="O460" s="104"/>
      <c r="P460" s="19"/>
      <c r="Q460" s="19"/>
      <c r="R460" s="19"/>
      <c r="S460" s="19"/>
      <c r="T460" s="19"/>
      <c r="U460" s="19"/>
      <c r="V460" s="19"/>
    </row>
    <row r="461" spans="3:22" ht="15">
      <c r="C461" s="118"/>
      <c r="D461" s="25"/>
      <c r="E461" s="25"/>
      <c r="F461" s="25"/>
      <c r="G461" s="104"/>
      <c r="H461" s="25"/>
      <c r="I461" s="25"/>
      <c r="J461" s="25"/>
      <c r="L461" s="25"/>
      <c r="O461" s="104"/>
      <c r="P461" s="19"/>
      <c r="Q461" s="19"/>
      <c r="R461" s="19"/>
      <c r="S461" s="19"/>
      <c r="T461" s="19"/>
      <c r="U461" s="19"/>
      <c r="V461" s="19"/>
    </row>
    <row r="462" spans="3:22" ht="15">
      <c r="C462" s="118"/>
      <c r="D462" s="25"/>
      <c r="E462" s="25"/>
      <c r="F462" s="25"/>
      <c r="G462" s="104"/>
      <c r="H462" s="25"/>
      <c r="I462" s="25"/>
      <c r="J462" s="25"/>
      <c r="L462" s="25"/>
      <c r="O462" s="104"/>
      <c r="P462" s="19"/>
      <c r="Q462" s="19"/>
      <c r="R462" s="19"/>
      <c r="S462" s="19"/>
      <c r="T462" s="19"/>
      <c r="U462" s="19"/>
      <c r="V462" s="19"/>
    </row>
    <row r="463" spans="3:22" ht="15">
      <c r="C463" s="118"/>
      <c r="D463" s="25"/>
      <c r="E463" s="25"/>
      <c r="F463" s="25"/>
      <c r="G463" s="104"/>
      <c r="H463" s="25"/>
      <c r="I463" s="25"/>
      <c r="J463" s="25"/>
      <c r="L463" s="25"/>
      <c r="O463" s="104"/>
      <c r="P463" s="19"/>
      <c r="Q463" s="19"/>
      <c r="R463" s="19"/>
      <c r="S463" s="19"/>
      <c r="T463" s="19"/>
      <c r="U463" s="19"/>
      <c r="V463" s="19"/>
    </row>
    <row r="464" spans="3:22" ht="15">
      <c r="C464" s="118"/>
      <c r="D464" s="25"/>
      <c r="E464" s="25"/>
      <c r="F464" s="25"/>
      <c r="G464" s="104"/>
      <c r="H464" s="25"/>
      <c r="I464" s="25"/>
      <c r="J464" s="25"/>
      <c r="L464" s="25"/>
      <c r="O464" s="104"/>
      <c r="P464" s="19"/>
      <c r="Q464" s="19"/>
      <c r="R464" s="19"/>
      <c r="S464" s="19"/>
      <c r="T464" s="19"/>
      <c r="U464" s="19"/>
      <c r="V464" s="19"/>
    </row>
    <row r="465" spans="3:22" ht="15">
      <c r="C465" s="118"/>
      <c r="D465" s="25"/>
      <c r="E465" s="25"/>
      <c r="F465" s="25"/>
      <c r="G465" s="104"/>
      <c r="H465" s="25"/>
      <c r="I465" s="25"/>
      <c r="J465" s="25"/>
      <c r="L465" s="25"/>
      <c r="O465" s="104"/>
      <c r="P465" s="19"/>
      <c r="Q465" s="19"/>
      <c r="R465" s="19"/>
      <c r="S465" s="19"/>
      <c r="T465" s="19"/>
      <c r="U465" s="19"/>
      <c r="V465" s="19"/>
    </row>
    <row r="466" spans="3:22" ht="15">
      <c r="C466" s="118"/>
      <c r="D466" s="25"/>
      <c r="E466" s="25"/>
      <c r="F466" s="25"/>
      <c r="G466" s="104"/>
      <c r="H466" s="25"/>
      <c r="I466" s="25"/>
      <c r="J466" s="25"/>
      <c r="L466" s="25"/>
      <c r="O466" s="104"/>
      <c r="P466" s="19"/>
      <c r="Q466" s="19"/>
      <c r="R466" s="19"/>
      <c r="S466" s="19"/>
      <c r="T466" s="19"/>
      <c r="U466" s="19"/>
      <c r="V466" s="19"/>
    </row>
    <row r="467" spans="3:22" ht="15">
      <c r="C467" s="118"/>
      <c r="D467" s="25"/>
      <c r="E467" s="25"/>
      <c r="F467" s="25"/>
      <c r="G467" s="104"/>
      <c r="H467" s="25"/>
      <c r="I467" s="25"/>
      <c r="J467" s="25"/>
      <c r="L467" s="25"/>
      <c r="O467" s="104"/>
      <c r="P467" s="19"/>
      <c r="Q467" s="19"/>
      <c r="R467" s="19"/>
      <c r="S467" s="19"/>
      <c r="T467" s="19"/>
      <c r="U467" s="19"/>
      <c r="V467" s="19"/>
    </row>
    <row r="468" spans="3:22" ht="15">
      <c r="C468" s="118"/>
      <c r="D468" s="25"/>
      <c r="E468" s="25"/>
      <c r="F468" s="25"/>
      <c r="G468" s="104"/>
      <c r="H468" s="25"/>
      <c r="I468" s="25"/>
      <c r="J468" s="25"/>
      <c r="L468" s="25"/>
      <c r="O468" s="104"/>
      <c r="P468" s="19"/>
      <c r="Q468" s="19"/>
      <c r="R468" s="19"/>
      <c r="S468" s="19"/>
      <c r="T468" s="19"/>
      <c r="U468" s="19"/>
      <c r="V468" s="19"/>
    </row>
    <row r="469" spans="3:22" ht="15">
      <c r="C469" s="118"/>
      <c r="D469" s="25"/>
      <c r="E469" s="25"/>
      <c r="F469" s="25"/>
      <c r="G469" s="104"/>
      <c r="H469" s="25"/>
      <c r="I469" s="25"/>
      <c r="J469" s="25"/>
      <c r="L469" s="25"/>
      <c r="O469" s="104"/>
      <c r="P469" s="19"/>
      <c r="Q469" s="19"/>
      <c r="R469" s="19"/>
      <c r="S469" s="19"/>
      <c r="T469" s="19"/>
      <c r="U469" s="19"/>
      <c r="V469" s="19"/>
    </row>
    <row r="470" spans="3:22" ht="15">
      <c r="C470" s="118"/>
      <c r="D470" s="25"/>
      <c r="E470" s="25"/>
      <c r="F470" s="25"/>
      <c r="G470" s="104"/>
      <c r="H470" s="25"/>
      <c r="I470" s="25"/>
      <c r="J470" s="25"/>
      <c r="L470" s="25"/>
      <c r="O470" s="104"/>
      <c r="P470" s="19"/>
      <c r="Q470" s="19"/>
      <c r="R470" s="19"/>
      <c r="S470" s="19"/>
      <c r="T470" s="19"/>
      <c r="U470" s="19"/>
      <c r="V470" s="19"/>
    </row>
    <row r="471" spans="3:22" ht="15">
      <c r="C471" s="118"/>
      <c r="D471" s="25"/>
      <c r="E471" s="25"/>
      <c r="F471" s="25"/>
      <c r="G471" s="104"/>
      <c r="H471" s="25"/>
      <c r="I471" s="25"/>
      <c r="J471" s="25"/>
      <c r="L471" s="25"/>
      <c r="O471" s="104"/>
      <c r="P471" s="19"/>
      <c r="Q471" s="19"/>
      <c r="R471" s="19"/>
      <c r="S471" s="19"/>
      <c r="T471" s="19"/>
      <c r="U471" s="19"/>
      <c r="V471" s="19"/>
    </row>
    <row r="472" spans="3:22" ht="15">
      <c r="C472" s="118"/>
      <c r="D472" s="25"/>
      <c r="E472" s="25"/>
      <c r="F472" s="25"/>
      <c r="G472" s="104"/>
      <c r="H472" s="25"/>
      <c r="I472" s="25"/>
      <c r="J472" s="25"/>
      <c r="L472" s="25"/>
      <c r="O472" s="104"/>
      <c r="P472" s="19"/>
      <c r="Q472" s="19"/>
      <c r="R472" s="19"/>
      <c r="S472" s="19"/>
      <c r="T472" s="19"/>
      <c r="U472" s="19"/>
      <c r="V472" s="19"/>
    </row>
    <row r="473" spans="3:22" ht="15">
      <c r="C473" s="118"/>
      <c r="D473" s="25"/>
      <c r="E473" s="25"/>
      <c r="F473" s="25"/>
      <c r="G473" s="104"/>
      <c r="H473" s="25"/>
      <c r="I473" s="25"/>
      <c r="J473" s="25"/>
      <c r="L473" s="25"/>
      <c r="O473" s="104"/>
      <c r="P473" s="19"/>
      <c r="Q473" s="19"/>
      <c r="R473" s="19"/>
      <c r="S473" s="19"/>
      <c r="T473" s="19"/>
      <c r="U473" s="19"/>
      <c r="V473" s="19"/>
    </row>
    <row r="474" spans="3:22" ht="15">
      <c r="C474" s="118"/>
      <c r="D474" s="25"/>
      <c r="E474" s="25"/>
      <c r="F474" s="25"/>
      <c r="G474" s="104"/>
      <c r="H474" s="25"/>
      <c r="I474" s="25"/>
      <c r="J474" s="25"/>
      <c r="L474" s="25"/>
      <c r="O474" s="104"/>
      <c r="P474" s="19"/>
      <c r="Q474" s="19"/>
      <c r="R474" s="19"/>
      <c r="S474" s="19"/>
      <c r="T474" s="19"/>
      <c r="U474" s="19"/>
      <c r="V474" s="19"/>
    </row>
    <row r="475" spans="3:22" ht="15">
      <c r="C475" s="118"/>
      <c r="D475" s="25"/>
      <c r="E475" s="25"/>
      <c r="F475" s="25"/>
      <c r="G475" s="104"/>
      <c r="H475" s="25"/>
      <c r="I475" s="25"/>
      <c r="J475" s="25"/>
      <c r="L475" s="25"/>
      <c r="O475" s="104"/>
      <c r="P475" s="19"/>
      <c r="Q475" s="19"/>
      <c r="R475" s="19"/>
      <c r="S475" s="19"/>
      <c r="T475" s="19"/>
      <c r="U475" s="19"/>
      <c r="V475" s="19"/>
    </row>
    <row r="476" spans="3:22" ht="15">
      <c r="C476" s="118"/>
      <c r="D476" s="25"/>
      <c r="E476" s="25"/>
      <c r="F476" s="25"/>
      <c r="G476" s="104"/>
      <c r="H476" s="25"/>
      <c r="I476" s="25"/>
      <c r="J476" s="25"/>
      <c r="L476" s="25"/>
      <c r="O476" s="104"/>
      <c r="P476" s="19"/>
      <c r="Q476" s="19"/>
      <c r="R476" s="19"/>
      <c r="S476" s="19"/>
      <c r="T476" s="19"/>
      <c r="U476" s="19"/>
      <c r="V476" s="19"/>
    </row>
    <row r="477" spans="3:22" ht="15">
      <c r="C477" s="118"/>
      <c r="D477" s="25"/>
      <c r="E477" s="25"/>
      <c r="F477" s="25"/>
      <c r="G477" s="104"/>
      <c r="H477" s="25"/>
      <c r="I477" s="25"/>
      <c r="J477" s="25"/>
      <c r="L477" s="25"/>
      <c r="O477" s="104"/>
      <c r="P477" s="19"/>
      <c r="Q477" s="19"/>
      <c r="R477" s="19"/>
      <c r="S477" s="19"/>
      <c r="T477" s="19"/>
      <c r="U477" s="19"/>
      <c r="V477" s="19"/>
    </row>
    <row r="478" spans="3:22" ht="15">
      <c r="C478" s="118"/>
      <c r="D478" s="25"/>
      <c r="E478" s="25"/>
      <c r="F478" s="25"/>
      <c r="G478" s="104"/>
      <c r="H478" s="25"/>
      <c r="I478" s="25"/>
      <c r="J478" s="25"/>
      <c r="L478" s="25"/>
      <c r="O478" s="104"/>
      <c r="P478" s="19"/>
      <c r="Q478" s="19"/>
      <c r="R478" s="19"/>
      <c r="S478" s="19"/>
      <c r="T478" s="19"/>
      <c r="U478" s="19"/>
      <c r="V478" s="19"/>
    </row>
    <row r="479" spans="3:22" ht="15">
      <c r="C479" s="118"/>
      <c r="D479" s="25"/>
      <c r="E479" s="25"/>
      <c r="F479" s="25"/>
      <c r="G479" s="104"/>
      <c r="H479" s="25"/>
      <c r="I479" s="25"/>
      <c r="J479" s="25"/>
      <c r="L479" s="25"/>
      <c r="O479" s="104"/>
      <c r="P479" s="19"/>
      <c r="Q479" s="19"/>
      <c r="R479" s="19"/>
      <c r="S479" s="19"/>
      <c r="T479" s="19"/>
      <c r="U479" s="19"/>
      <c r="V479" s="19"/>
    </row>
    <row r="480" spans="3:22" ht="15">
      <c r="C480" s="118"/>
      <c r="D480" s="25"/>
      <c r="E480" s="25"/>
      <c r="F480" s="25"/>
      <c r="G480" s="104"/>
      <c r="H480" s="25"/>
      <c r="I480" s="25"/>
      <c r="J480" s="25"/>
      <c r="L480" s="25"/>
      <c r="O480" s="104"/>
      <c r="P480" s="19"/>
      <c r="Q480" s="19"/>
      <c r="R480" s="19"/>
      <c r="S480" s="19"/>
      <c r="T480" s="19"/>
      <c r="U480" s="19"/>
      <c r="V480" s="19"/>
    </row>
    <row r="481" spans="3:22" ht="15">
      <c r="C481" s="118"/>
      <c r="D481" s="25"/>
      <c r="E481" s="25"/>
      <c r="F481" s="25"/>
      <c r="G481" s="104"/>
      <c r="H481" s="25"/>
      <c r="I481" s="25"/>
      <c r="J481" s="25"/>
      <c r="L481" s="25"/>
      <c r="O481" s="104"/>
      <c r="P481" s="19"/>
      <c r="Q481" s="19"/>
      <c r="R481" s="19"/>
      <c r="S481" s="19"/>
      <c r="T481" s="19"/>
      <c r="U481" s="19"/>
      <c r="V481" s="19"/>
    </row>
    <row r="482" spans="3:22" ht="15">
      <c r="C482" s="118"/>
      <c r="D482" s="25"/>
      <c r="E482" s="25"/>
      <c r="F482" s="25"/>
      <c r="G482" s="104"/>
      <c r="H482" s="25"/>
      <c r="I482" s="25"/>
      <c r="J482" s="25"/>
      <c r="L482" s="25"/>
      <c r="O482" s="104"/>
      <c r="P482" s="19"/>
      <c r="Q482" s="19"/>
      <c r="R482" s="19"/>
      <c r="S482" s="19"/>
      <c r="T482" s="19"/>
      <c r="U482" s="19"/>
      <c r="V482" s="19"/>
    </row>
    <row r="483" spans="3:22" ht="15">
      <c r="C483" s="118"/>
      <c r="D483" s="25"/>
      <c r="E483" s="25"/>
      <c r="F483" s="25"/>
      <c r="G483" s="104"/>
      <c r="H483" s="25"/>
      <c r="I483" s="25"/>
      <c r="J483" s="25"/>
      <c r="L483" s="25"/>
      <c r="O483" s="104"/>
      <c r="P483" s="19"/>
      <c r="Q483" s="19"/>
      <c r="R483" s="19"/>
      <c r="S483" s="19"/>
      <c r="T483" s="19"/>
      <c r="U483" s="19"/>
      <c r="V483" s="19"/>
    </row>
    <row r="484" spans="3:22" ht="15">
      <c r="C484" s="118"/>
      <c r="D484" s="25"/>
      <c r="E484" s="25"/>
      <c r="F484" s="25"/>
      <c r="G484" s="104"/>
      <c r="H484" s="25"/>
      <c r="I484" s="25"/>
      <c r="J484" s="25"/>
      <c r="L484" s="25"/>
      <c r="O484" s="104"/>
      <c r="P484" s="19"/>
      <c r="Q484" s="19"/>
      <c r="R484" s="19"/>
      <c r="S484" s="19"/>
      <c r="T484" s="19"/>
      <c r="U484" s="19"/>
      <c r="V484" s="19"/>
    </row>
    <row r="485" spans="3:22" ht="15">
      <c r="C485" s="118"/>
      <c r="D485" s="25"/>
      <c r="E485" s="25"/>
      <c r="F485" s="25"/>
      <c r="G485" s="104"/>
      <c r="H485" s="25"/>
      <c r="I485" s="25"/>
      <c r="J485" s="25"/>
      <c r="L485" s="25"/>
      <c r="O485" s="104"/>
      <c r="P485" s="19"/>
      <c r="Q485" s="19"/>
      <c r="R485" s="19"/>
      <c r="S485" s="19"/>
      <c r="T485" s="19"/>
      <c r="U485" s="19"/>
      <c r="V485" s="19"/>
    </row>
    <row r="486" spans="3:22" ht="15">
      <c r="C486" s="118"/>
      <c r="D486" s="25"/>
      <c r="E486" s="25"/>
      <c r="F486" s="25"/>
      <c r="G486" s="104"/>
      <c r="H486" s="25"/>
      <c r="I486" s="25"/>
      <c r="J486" s="25"/>
      <c r="L486" s="25"/>
      <c r="O486" s="104"/>
      <c r="P486" s="19"/>
      <c r="Q486" s="19"/>
      <c r="R486" s="19"/>
      <c r="S486" s="19"/>
      <c r="T486" s="19"/>
      <c r="U486" s="19"/>
      <c r="V486" s="19"/>
    </row>
    <row r="487" spans="3:22" ht="15">
      <c r="C487" s="118"/>
      <c r="D487" s="25"/>
      <c r="E487" s="25"/>
      <c r="F487" s="25"/>
      <c r="G487" s="104"/>
      <c r="H487" s="25"/>
      <c r="I487" s="25"/>
      <c r="J487" s="25"/>
      <c r="L487" s="25"/>
      <c r="O487" s="104"/>
      <c r="P487" s="19"/>
      <c r="Q487" s="19"/>
      <c r="R487" s="19"/>
      <c r="S487" s="19"/>
      <c r="T487" s="19"/>
      <c r="U487" s="19"/>
      <c r="V487" s="19"/>
    </row>
    <row r="488" spans="3:22" ht="15">
      <c r="C488" s="118"/>
      <c r="D488" s="25"/>
      <c r="E488" s="25"/>
      <c r="F488" s="25"/>
      <c r="G488" s="104"/>
      <c r="H488" s="25"/>
      <c r="I488" s="25"/>
      <c r="J488" s="25"/>
      <c r="L488" s="25"/>
      <c r="O488" s="104"/>
      <c r="P488" s="19"/>
      <c r="Q488" s="19"/>
      <c r="R488" s="19"/>
      <c r="S488" s="19"/>
      <c r="T488" s="19"/>
      <c r="U488" s="19"/>
      <c r="V488" s="19"/>
    </row>
    <row r="489" spans="3:22" ht="15">
      <c r="C489" s="118"/>
      <c r="D489" s="25"/>
      <c r="E489" s="25"/>
      <c r="F489" s="25"/>
      <c r="G489" s="104"/>
      <c r="H489" s="25"/>
      <c r="I489" s="25"/>
      <c r="J489" s="25"/>
      <c r="L489" s="25"/>
      <c r="O489" s="104"/>
      <c r="P489" s="19"/>
      <c r="Q489" s="19"/>
      <c r="R489" s="19"/>
      <c r="S489" s="19"/>
      <c r="T489" s="19"/>
      <c r="U489" s="19"/>
      <c r="V489" s="19"/>
    </row>
    <row r="490" spans="3:22" ht="15">
      <c r="C490" s="118"/>
      <c r="D490" s="25"/>
      <c r="E490" s="25"/>
      <c r="F490" s="25"/>
      <c r="G490" s="104"/>
      <c r="H490" s="25"/>
      <c r="I490" s="25"/>
      <c r="J490" s="25"/>
      <c r="L490" s="25"/>
      <c r="O490" s="104"/>
      <c r="P490" s="19"/>
      <c r="Q490" s="19"/>
      <c r="R490" s="19"/>
      <c r="S490" s="19"/>
      <c r="T490" s="19"/>
      <c r="U490" s="19"/>
      <c r="V490" s="19"/>
    </row>
    <row r="491" spans="3:22" ht="15">
      <c r="C491" s="118"/>
      <c r="D491" s="25"/>
      <c r="E491" s="25"/>
      <c r="F491" s="25"/>
      <c r="G491" s="104"/>
      <c r="H491" s="25"/>
      <c r="I491" s="25"/>
      <c r="J491" s="25"/>
      <c r="L491" s="25"/>
      <c r="O491" s="104"/>
      <c r="P491" s="19"/>
      <c r="Q491" s="19"/>
      <c r="R491" s="19"/>
      <c r="S491" s="19"/>
      <c r="T491" s="19"/>
      <c r="U491" s="19"/>
      <c r="V491" s="19"/>
    </row>
    <row r="492" spans="3:22" ht="15">
      <c r="C492" s="118"/>
      <c r="D492" s="25"/>
      <c r="E492" s="25"/>
      <c r="F492" s="25"/>
      <c r="G492" s="104"/>
      <c r="H492" s="25"/>
      <c r="I492" s="25"/>
      <c r="J492" s="25"/>
      <c r="L492" s="25"/>
      <c r="O492" s="104"/>
      <c r="P492" s="19"/>
      <c r="Q492" s="19"/>
      <c r="R492" s="19"/>
      <c r="S492" s="19"/>
      <c r="T492" s="19"/>
      <c r="U492" s="19"/>
      <c r="V492" s="19"/>
    </row>
    <row r="493" spans="3:22" ht="15">
      <c r="C493" s="118"/>
      <c r="D493" s="25"/>
      <c r="E493" s="25"/>
      <c r="F493" s="25"/>
      <c r="G493" s="104"/>
      <c r="H493" s="25"/>
      <c r="I493" s="25"/>
      <c r="J493" s="25"/>
      <c r="L493" s="25"/>
      <c r="O493" s="104"/>
      <c r="P493" s="19"/>
      <c r="Q493" s="19"/>
      <c r="R493" s="19"/>
      <c r="S493" s="19"/>
      <c r="T493" s="19"/>
      <c r="U493" s="19"/>
      <c r="V493" s="19"/>
    </row>
    <row r="494" spans="3:22" ht="15">
      <c r="C494" s="118"/>
      <c r="D494" s="25"/>
      <c r="E494" s="25"/>
      <c r="F494" s="25"/>
      <c r="G494" s="104"/>
      <c r="H494" s="25"/>
      <c r="I494" s="25"/>
      <c r="J494" s="25"/>
      <c r="L494" s="25"/>
      <c r="O494" s="104"/>
      <c r="P494" s="19"/>
      <c r="Q494" s="19"/>
      <c r="R494" s="19"/>
      <c r="S494" s="19"/>
      <c r="T494" s="19"/>
      <c r="U494" s="19"/>
      <c r="V494" s="19"/>
    </row>
    <row r="495" spans="3:22" ht="15">
      <c r="C495" s="118"/>
      <c r="D495" s="25"/>
      <c r="E495" s="25"/>
      <c r="F495" s="25"/>
      <c r="G495" s="104"/>
      <c r="H495" s="25"/>
      <c r="I495" s="25"/>
      <c r="J495" s="25"/>
      <c r="L495" s="25"/>
      <c r="O495" s="104"/>
      <c r="P495" s="19"/>
      <c r="Q495" s="19"/>
      <c r="R495" s="19"/>
      <c r="S495" s="19"/>
      <c r="T495" s="19"/>
      <c r="U495" s="19"/>
      <c r="V495" s="19"/>
    </row>
    <row r="496" spans="3:22" ht="15">
      <c r="C496" s="118"/>
      <c r="D496" s="25"/>
      <c r="E496" s="25"/>
      <c r="F496" s="25"/>
      <c r="G496" s="104"/>
      <c r="H496" s="25"/>
      <c r="I496" s="25"/>
      <c r="J496" s="25"/>
      <c r="L496" s="25"/>
      <c r="O496" s="104"/>
      <c r="P496" s="19"/>
      <c r="Q496" s="19"/>
      <c r="R496" s="19"/>
      <c r="S496" s="19"/>
      <c r="T496" s="19"/>
      <c r="U496" s="19"/>
      <c r="V496" s="19"/>
    </row>
    <row r="497" spans="3:22" ht="15">
      <c r="C497" s="118"/>
      <c r="D497" s="25"/>
      <c r="E497" s="25"/>
      <c r="F497" s="25"/>
      <c r="G497" s="104"/>
      <c r="H497" s="25"/>
      <c r="I497" s="25"/>
      <c r="J497" s="25"/>
      <c r="L497" s="25"/>
      <c r="O497" s="104"/>
      <c r="P497" s="19"/>
      <c r="Q497" s="19"/>
      <c r="R497" s="19"/>
      <c r="S497" s="19"/>
      <c r="T497" s="19"/>
      <c r="U497" s="19"/>
      <c r="V497" s="19"/>
    </row>
    <row r="498" spans="3:22" ht="15">
      <c r="C498" s="118"/>
      <c r="D498" s="25"/>
      <c r="E498" s="25"/>
      <c r="F498" s="25"/>
      <c r="G498" s="104"/>
      <c r="H498" s="25"/>
      <c r="I498" s="25"/>
      <c r="J498" s="25"/>
      <c r="L498" s="25"/>
      <c r="O498" s="104"/>
      <c r="P498" s="19"/>
      <c r="Q498" s="19"/>
      <c r="R498" s="19"/>
      <c r="S498" s="19"/>
      <c r="T498" s="19"/>
      <c r="U498" s="19"/>
      <c r="V498" s="19"/>
    </row>
    <row r="499" spans="3:22" ht="15">
      <c r="C499" s="118"/>
      <c r="D499" s="25"/>
      <c r="E499" s="25"/>
      <c r="F499" s="25"/>
      <c r="G499" s="104"/>
      <c r="H499" s="25"/>
      <c r="I499" s="25"/>
      <c r="J499" s="25"/>
      <c r="L499" s="25"/>
      <c r="O499" s="104"/>
      <c r="P499" s="19"/>
      <c r="Q499" s="19"/>
      <c r="R499" s="19"/>
      <c r="S499" s="19"/>
      <c r="T499" s="19"/>
      <c r="U499" s="19"/>
      <c r="V499" s="19"/>
    </row>
    <row r="500" spans="3:22" ht="15">
      <c r="C500" s="118"/>
      <c r="D500" s="25"/>
      <c r="E500" s="25"/>
      <c r="F500" s="25"/>
      <c r="G500" s="104"/>
      <c r="H500" s="25"/>
      <c r="I500" s="25"/>
      <c r="J500" s="25"/>
      <c r="L500" s="25"/>
      <c r="O500" s="104"/>
      <c r="P500" s="19"/>
      <c r="Q500" s="19"/>
      <c r="R500" s="19"/>
      <c r="S500" s="19"/>
      <c r="T500" s="19"/>
      <c r="U500" s="19"/>
      <c r="V500" s="19"/>
    </row>
    <row r="501" spans="3:22" ht="15">
      <c r="C501" s="118"/>
      <c r="D501" s="25"/>
      <c r="E501" s="25"/>
      <c r="F501" s="25"/>
      <c r="G501" s="104"/>
      <c r="H501" s="25"/>
      <c r="I501" s="25"/>
      <c r="J501" s="25"/>
      <c r="L501" s="25"/>
      <c r="O501" s="104"/>
      <c r="P501" s="19"/>
      <c r="Q501" s="19"/>
      <c r="R501" s="19"/>
      <c r="S501" s="19"/>
      <c r="T501" s="19"/>
      <c r="U501" s="19"/>
      <c r="V501" s="19"/>
    </row>
    <row r="502" spans="3:22" ht="15">
      <c r="C502" s="118"/>
      <c r="D502" s="25"/>
      <c r="E502" s="25"/>
      <c r="F502" s="25"/>
      <c r="G502" s="104"/>
      <c r="H502" s="25"/>
      <c r="I502" s="25"/>
      <c r="J502" s="25"/>
      <c r="L502" s="25"/>
      <c r="O502" s="104"/>
      <c r="P502" s="19"/>
      <c r="Q502" s="19"/>
      <c r="R502" s="19"/>
      <c r="S502" s="19"/>
      <c r="T502" s="19"/>
      <c r="U502" s="19"/>
      <c r="V502" s="19"/>
    </row>
    <row r="503" spans="3:22" ht="15">
      <c r="C503" s="118"/>
      <c r="D503" s="25"/>
      <c r="E503" s="25"/>
      <c r="F503" s="25"/>
      <c r="G503" s="104"/>
      <c r="H503" s="25"/>
      <c r="I503" s="25"/>
      <c r="J503" s="25"/>
      <c r="L503" s="25"/>
      <c r="O503" s="104"/>
      <c r="P503" s="19"/>
      <c r="Q503" s="19"/>
      <c r="R503" s="19"/>
      <c r="S503" s="19"/>
      <c r="T503" s="19"/>
      <c r="U503" s="19"/>
      <c r="V503" s="19"/>
    </row>
    <row r="504" spans="3:22" ht="15">
      <c r="C504" s="118"/>
      <c r="D504" s="25"/>
      <c r="E504" s="25"/>
      <c r="F504" s="25"/>
      <c r="G504" s="104"/>
      <c r="H504" s="25"/>
      <c r="I504" s="25"/>
      <c r="J504" s="25"/>
      <c r="L504" s="25"/>
      <c r="O504" s="104"/>
      <c r="P504" s="19"/>
      <c r="Q504" s="19"/>
      <c r="R504" s="19"/>
      <c r="S504" s="19"/>
      <c r="T504" s="19"/>
      <c r="U504" s="19"/>
      <c r="V504" s="19"/>
    </row>
    <row r="505" spans="3:22" ht="15">
      <c r="C505" s="118"/>
      <c r="D505" s="25"/>
      <c r="E505" s="25"/>
      <c r="F505" s="25"/>
      <c r="G505" s="104"/>
      <c r="H505" s="25"/>
      <c r="I505" s="25"/>
      <c r="J505" s="25"/>
      <c r="L505" s="25"/>
      <c r="O505" s="104"/>
      <c r="P505" s="19"/>
      <c r="Q505" s="19"/>
      <c r="R505" s="19"/>
      <c r="S505" s="19"/>
      <c r="T505" s="19"/>
      <c r="U505" s="19"/>
      <c r="V505" s="19"/>
    </row>
    <row r="506" spans="3:22" ht="15">
      <c r="C506" s="118"/>
      <c r="D506" s="25"/>
      <c r="E506" s="25"/>
      <c r="F506" s="25"/>
      <c r="G506" s="104"/>
      <c r="H506" s="25"/>
      <c r="I506" s="25"/>
      <c r="J506" s="25"/>
      <c r="L506" s="25"/>
      <c r="O506" s="104"/>
      <c r="P506" s="19"/>
      <c r="Q506" s="19"/>
      <c r="R506" s="19"/>
      <c r="S506" s="19"/>
      <c r="T506" s="19"/>
      <c r="U506" s="19"/>
      <c r="V506" s="19"/>
    </row>
    <row r="507" spans="3:22" ht="15">
      <c r="C507" s="118"/>
      <c r="D507" s="25"/>
      <c r="E507" s="25"/>
      <c r="F507" s="25"/>
      <c r="G507" s="104"/>
      <c r="H507" s="25"/>
      <c r="I507" s="25"/>
      <c r="J507" s="25"/>
      <c r="L507" s="25"/>
      <c r="O507" s="104"/>
      <c r="P507" s="19"/>
      <c r="Q507" s="19"/>
      <c r="R507" s="19"/>
      <c r="S507" s="19"/>
      <c r="T507" s="19"/>
      <c r="U507" s="19"/>
      <c r="V507" s="19"/>
    </row>
    <row r="508" spans="3:22" ht="15">
      <c r="C508" s="118"/>
      <c r="D508" s="25"/>
      <c r="E508" s="25"/>
      <c r="F508" s="25"/>
      <c r="G508" s="104"/>
      <c r="H508" s="25"/>
      <c r="I508" s="25"/>
      <c r="J508" s="25"/>
      <c r="L508" s="25"/>
      <c r="O508" s="104"/>
      <c r="P508" s="19"/>
      <c r="Q508" s="19"/>
      <c r="R508" s="19"/>
      <c r="S508" s="19"/>
      <c r="T508" s="19"/>
      <c r="U508" s="19"/>
      <c r="V508" s="19"/>
    </row>
    <row r="509" spans="3:22" ht="15">
      <c r="C509" s="118"/>
      <c r="D509" s="25"/>
      <c r="E509" s="25"/>
      <c r="F509" s="25"/>
      <c r="G509" s="104"/>
      <c r="H509" s="25"/>
      <c r="I509" s="25"/>
      <c r="J509" s="25"/>
      <c r="L509" s="25"/>
      <c r="O509" s="104"/>
      <c r="P509" s="19"/>
      <c r="Q509" s="19"/>
      <c r="R509" s="19"/>
      <c r="S509" s="19"/>
      <c r="T509" s="19"/>
      <c r="U509" s="19"/>
      <c r="V509" s="19"/>
    </row>
    <row r="510" spans="3:22" ht="15">
      <c r="C510" s="118"/>
      <c r="D510" s="25"/>
      <c r="E510" s="25"/>
      <c r="F510" s="25"/>
      <c r="G510" s="104"/>
      <c r="H510" s="25"/>
      <c r="I510" s="25"/>
      <c r="J510" s="25"/>
      <c r="L510" s="25"/>
      <c r="O510" s="104"/>
      <c r="P510" s="19"/>
      <c r="Q510" s="19"/>
      <c r="R510" s="19"/>
      <c r="S510" s="19"/>
      <c r="T510" s="19"/>
      <c r="U510" s="19"/>
      <c r="V510" s="19"/>
    </row>
    <row r="511" spans="3:22" ht="15">
      <c r="C511" s="118"/>
      <c r="D511" s="25"/>
      <c r="E511" s="25"/>
      <c r="F511" s="25"/>
      <c r="G511" s="104"/>
      <c r="H511" s="25"/>
      <c r="I511" s="25"/>
      <c r="J511" s="25"/>
      <c r="L511" s="25"/>
      <c r="O511" s="104"/>
      <c r="P511" s="19"/>
      <c r="Q511" s="19"/>
      <c r="R511" s="19"/>
      <c r="S511" s="19"/>
      <c r="T511" s="19"/>
      <c r="U511" s="19"/>
      <c r="V511" s="19"/>
    </row>
    <row r="512" spans="3:22" ht="15">
      <c r="C512" s="118"/>
      <c r="D512" s="25"/>
      <c r="E512" s="25"/>
      <c r="F512" s="25"/>
      <c r="G512" s="104"/>
      <c r="H512" s="25"/>
      <c r="I512" s="25"/>
      <c r="J512" s="25"/>
      <c r="L512" s="25"/>
      <c r="O512" s="104"/>
      <c r="P512" s="19"/>
      <c r="Q512" s="19"/>
      <c r="R512" s="19"/>
      <c r="S512" s="19"/>
      <c r="T512" s="19"/>
      <c r="U512" s="19"/>
      <c r="V512" s="19"/>
    </row>
    <row r="513" spans="3:22" ht="15">
      <c r="C513" s="118"/>
      <c r="D513" s="25"/>
      <c r="E513" s="25"/>
      <c r="F513" s="25"/>
      <c r="G513" s="104"/>
      <c r="H513" s="25"/>
      <c r="I513" s="25"/>
      <c r="J513" s="25"/>
      <c r="L513" s="25"/>
      <c r="O513" s="104"/>
      <c r="P513" s="19"/>
      <c r="Q513" s="19"/>
      <c r="R513" s="19"/>
      <c r="S513" s="19"/>
      <c r="T513" s="19"/>
      <c r="U513" s="19"/>
      <c r="V513" s="19"/>
    </row>
    <row r="514" spans="3:22" ht="15">
      <c r="C514" s="118"/>
      <c r="D514" s="25"/>
      <c r="E514" s="25"/>
      <c r="F514" s="25"/>
      <c r="G514" s="104"/>
      <c r="H514" s="25"/>
      <c r="I514" s="25"/>
      <c r="J514" s="25"/>
      <c r="L514" s="25"/>
      <c r="O514" s="104"/>
      <c r="P514" s="19"/>
      <c r="Q514" s="19"/>
      <c r="R514" s="19"/>
      <c r="S514" s="19"/>
      <c r="T514" s="19"/>
      <c r="U514" s="19"/>
      <c r="V514" s="19"/>
    </row>
    <row r="515" spans="3:22" ht="15">
      <c r="C515" s="118"/>
      <c r="D515" s="25"/>
      <c r="E515" s="25"/>
      <c r="F515" s="25"/>
      <c r="G515" s="104"/>
      <c r="H515" s="25"/>
      <c r="I515" s="25"/>
      <c r="J515" s="25"/>
      <c r="L515" s="25"/>
      <c r="O515" s="104"/>
      <c r="P515" s="19"/>
      <c r="Q515" s="19"/>
      <c r="R515" s="19"/>
      <c r="S515" s="19"/>
      <c r="T515" s="19"/>
      <c r="U515" s="19"/>
      <c r="V515" s="19"/>
    </row>
    <row r="516" spans="3:22" ht="15">
      <c r="C516" s="118"/>
      <c r="D516" s="25"/>
      <c r="E516" s="25"/>
      <c r="F516" s="25"/>
      <c r="G516" s="104"/>
      <c r="H516" s="25"/>
      <c r="I516" s="25"/>
      <c r="J516" s="25"/>
      <c r="L516" s="25"/>
      <c r="O516" s="104"/>
      <c r="P516" s="19"/>
      <c r="Q516" s="19"/>
      <c r="R516" s="19"/>
      <c r="S516" s="19"/>
      <c r="T516" s="19"/>
      <c r="U516" s="19"/>
      <c r="V516" s="19"/>
    </row>
    <row r="517" spans="3:22" ht="15">
      <c r="C517" s="118"/>
      <c r="D517" s="25"/>
      <c r="E517" s="25"/>
      <c r="F517" s="25"/>
      <c r="G517" s="104"/>
      <c r="H517" s="25"/>
      <c r="I517" s="25"/>
      <c r="J517" s="25"/>
      <c r="L517" s="25"/>
      <c r="O517" s="104"/>
      <c r="P517" s="19"/>
      <c r="Q517" s="19"/>
      <c r="R517" s="19"/>
      <c r="S517" s="19"/>
      <c r="T517" s="19"/>
      <c r="U517" s="19"/>
      <c r="V517" s="19"/>
    </row>
    <row r="518" spans="3:22" ht="15">
      <c r="C518" s="118"/>
      <c r="D518" s="25"/>
      <c r="E518" s="25"/>
      <c r="F518" s="25"/>
      <c r="G518" s="104"/>
      <c r="H518" s="25"/>
      <c r="I518" s="25"/>
      <c r="J518" s="25"/>
      <c r="L518" s="25"/>
      <c r="O518" s="104"/>
      <c r="P518" s="19"/>
      <c r="Q518" s="19"/>
      <c r="R518" s="19"/>
      <c r="S518" s="19"/>
      <c r="T518" s="19"/>
      <c r="U518" s="19"/>
      <c r="V518" s="19"/>
    </row>
    <row r="519" spans="3:22" ht="15">
      <c r="C519" s="118"/>
      <c r="D519" s="25"/>
      <c r="E519" s="25"/>
      <c r="F519" s="25"/>
      <c r="G519" s="104"/>
      <c r="H519" s="25"/>
      <c r="I519" s="25"/>
      <c r="J519" s="25"/>
      <c r="L519" s="25"/>
      <c r="O519" s="104"/>
      <c r="P519" s="19"/>
      <c r="Q519" s="19"/>
      <c r="R519" s="19"/>
      <c r="S519" s="19"/>
      <c r="T519" s="19"/>
      <c r="U519" s="19"/>
      <c r="V519" s="19"/>
    </row>
    <row r="520" spans="3:22" ht="15">
      <c r="C520" s="118"/>
      <c r="D520" s="25"/>
      <c r="E520" s="25"/>
      <c r="F520" s="25"/>
      <c r="G520" s="104"/>
      <c r="H520" s="25"/>
      <c r="I520" s="25"/>
      <c r="J520" s="25"/>
      <c r="L520" s="25"/>
      <c r="O520" s="104"/>
      <c r="P520" s="19"/>
      <c r="Q520" s="19"/>
      <c r="R520" s="19"/>
      <c r="S520" s="19"/>
      <c r="T520" s="19"/>
      <c r="U520" s="19"/>
      <c r="V520" s="19"/>
    </row>
    <row r="521" spans="3:22" ht="15">
      <c r="C521" s="118"/>
      <c r="D521" s="25"/>
      <c r="E521" s="25"/>
      <c r="F521" s="25"/>
      <c r="G521" s="104"/>
      <c r="H521" s="25"/>
      <c r="I521" s="25"/>
      <c r="J521" s="25"/>
      <c r="L521" s="25"/>
      <c r="O521" s="104"/>
      <c r="P521" s="19"/>
      <c r="Q521" s="19"/>
      <c r="R521" s="19"/>
      <c r="S521" s="19"/>
      <c r="T521" s="19"/>
      <c r="U521" s="19"/>
      <c r="V521" s="19"/>
    </row>
    <row r="522" spans="3:22" ht="15">
      <c r="C522" s="118"/>
      <c r="D522" s="25"/>
      <c r="E522" s="25"/>
      <c r="F522" s="25"/>
      <c r="G522" s="104"/>
      <c r="H522" s="25"/>
      <c r="I522" s="25"/>
      <c r="J522" s="25"/>
      <c r="L522" s="25"/>
      <c r="O522" s="104"/>
      <c r="P522" s="19"/>
      <c r="Q522" s="19"/>
      <c r="R522" s="19"/>
      <c r="S522" s="19"/>
      <c r="T522" s="19"/>
      <c r="U522" s="19"/>
      <c r="V522" s="19"/>
    </row>
    <row r="523" spans="3:22" ht="15">
      <c r="C523" s="118"/>
      <c r="D523" s="25"/>
      <c r="E523" s="25"/>
      <c r="F523" s="25"/>
      <c r="G523" s="104"/>
      <c r="H523" s="25"/>
      <c r="I523" s="25"/>
      <c r="J523" s="25"/>
      <c r="L523" s="25"/>
      <c r="O523" s="104"/>
      <c r="P523" s="19"/>
      <c r="Q523" s="19"/>
      <c r="R523" s="19"/>
      <c r="S523" s="19"/>
      <c r="T523" s="19"/>
      <c r="U523" s="19"/>
      <c r="V523" s="19"/>
    </row>
    <row r="524" spans="3:22" ht="15">
      <c r="C524" s="118"/>
      <c r="D524" s="25"/>
      <c r="E524" s="25"/>
      <c r="F524" s="25"/>
      <c r="G524" s="104"/>
      <c r="H524" s="25"/>
      <c r="I524" s="25"/>
      <c r="J524" s="25"/>
      <c r="L524" s="25"/>
      <c r="O524" s="104"/>
      <c r="P524" s="19"/>
      <c r="Q524" s="19"/>
      <c r="R524" s="19"/>
      <c r="S524" s="19"/>
      <c r="T524" s="19"/>
      <c r="U524" s="19"/>
      <c r="V524" s="19"/>
    </row>
    <row r="525" spans="3:22" ht="15">
      <c r="C525" s="118"/>
      <c r="D525" s="25"/>
      <c r="E525" s="25"/>
      <c r="F525" s="25"/>
      <c r="G525" s="104"/>
      <c r="H525" s="25"/>
      <c r="I525" s="25"/>
      <c r="J525" s="25"/>
      <c r="L525" s="25"/>
      <c r="O525" s="104"/>
      <c r="P525" s="19"/>
      <c r="Q525" s="19"/>
      <c r="R525" s="19"/>
      <c r="S525" s="19"/>
      <c r="T525" s="19"/>
      <c r="U525" s="19"/>
      <c r="V525" s="19"/>
    </row>
    <row r="526" spans="3:22" ht="15">
      <c r="C526" s="118"/>
      <c r="D526" s="25"/>
      <c r="E526" s="25"/>
      <c r="F526" s="25"/>
      <c r="G526" s="104"/>
      <c r="H526" s="25"/>
      <c r="I526" s="25"/>
      <c r="J526" s="25"/>
      <c r="L526" s="25"/>
      <c r="O526" s="104"/>
      <c r="P526" s="19"/>
      <c r="Q526" s="19"/>
      <c r="R526" s="19"/>
      <c r="S526" s="19"/>
      <c r="T526" s="19"/>
      <c r="U526" s="19"/>
      <c r="V526" s="19"/>
    </row>
    <row r="527" spans="3:22" ht="15">
      <c r="C527" s="118"/>
      <c r="D527" s="25"/>
      <c r="E527" s="25"/>
      <c r="F527" s="25"/>
      <c r="G527" s="104"/>
      <c r="H527" s="25"/>
      <c r="I527" s="25"/>
      <c r="J527" s="25"/>
      <c r="L527" s="25"/>
      <c r="O527" s="104"/>
      <c r="P527" s="19"/>
      <c r="Q527" s="19"/>
      <c r="R527" s="19"/>
      <c r="S527" s="19"/>
      <c r="T527" s="19"/>
      <c r="U527" s="19"/>
      <c r="V527" s="19"/>
    </row>
    <row r="528" spans="3:22" ht="15">
      <c r="C528" s="118"/>
      <c r="D528" s="25"/>
      <c r="E528" s="25"/>
      <c r="F528" s="25"/>
      <c r="G528" s="104"/>
      <c r="H528" s="25"/>
      <c r="I528" s="25"/>
      <c r="J528" s="25"/>
      <c r="L528" s="25"/>
      <c r="O528" s="104"/>
      <c r="P528" s="19"/>
      <c r="Q528" s="19"/>
      <c r="R528" s="19"/>
      <c r="S528" s="19"/>
      <c r="T528" s="19"/>
      <c r="U528" s="19"/>
      <c r="V528" s="19"/>
    </row>
    <row r="529" spans="3:22" ht="15">
      <c r="C529" s="118"/>
      <c r="D529" s="25"/>
      <c r="E529" s="25"/>
      <c r="F529" s="25"/>
      <c r="G529" s="104"/>
      <c r="H529" s="25"/>
      <c r="I529" s="25"/>
      <c r="J529" s="25"/>
      <c r="L529" s="25"/>
      <c r="O529" s="104"/>
      <c r="P529" s="19"/>
      <c r="Q529" s="19"/>
      <c r="R529" s="19"/>
      <c r="S529" s="19"/>
      <c r="T529" s="19"/>
      <c r="U529" s="19"/>
      <c r="V529" s="19"/>
    </row>
    <row r="530" spans="3:22" ht="15">
      <c r="C530" s="118"/>
      <c r="D530" s="25"/>
      <c r="E530" s="25"/>
      <c r="F530" s="25"/>
      <c r="G530" s="104"/>
      <c r="H530" s="25"/>
      <c r="I530" s="25"/>
      <c r="J530" s="25"/>
      <c r="L530" s="25"/>
      <c r="O530" s="104"/>
      <c r="P530" s="19"/>
      <c r="Q530" s="19"/>
      <c r="R530" s="19"/>
      <c r="S530" s="19"/>
      <c r="T530" s="19"/>
      <c r="U530" s="19"/>
      <c r="V530" s="19"/>
    </row>
    <row r="531" spans="3:22" ht="15">
      <c r="C531" s="118"/>
      <c r="D531" s="25"/>
      <c r="E531" s="25"/>
      <c r="F531" s="25"/>
      <c r="G531" s="104"/>
      <c r="H531" s="25"/>
      <c r="I531" s="25"/>
      <c r="J531" s="25"/>
      <c r="L531" s="25"/>
      <c r="O531" s="104"/>
      <c r="P531" s="19"/>
      <c r="Q531" s="19"/>
      <c r="R531" s="19"/>
      <c r="S531" s="19"/>
      <c r="T531" s="19"/>
      <c r="U531" s="19"/>
      <c r="V531" s="19"/>
    </row>
    <row r="532" spans="3:22" ht="15">
      <c r="C532" s="118"/>
      <c r="D532" s="25"/>
      <c r="E532" s="25"/>
      <c r="F532" s="25"/>
      <c r="G532" s="104"/>
      <c r="H532" s="25"/>
      <c r="I532" s="25"/>
      <c r="J532" s="25"/>
      <c r="L532" s="25"/>
      <c r="O532" s="104"/>
      <c r="P532" s="19"/>
      <c r="Q532" s="19"/>
      <c r="R532" s="19"/>
      <c r="S532" s="19"/>
      <c r="T532" s="19"/>
      <c r="U532" s="19"/>
      <c r="V532" s="19"/>
    </row>
    <row r="533" spans="3:22" ht="15">
      <c r="C533" s="118"/>
      <c r="D533" s="25"/>
      <c r="E533" s="25"/>
      <c r="F533" s="25"/>
      <c r="G533" s="104"/>
      <c r="H533" s="25"/>
      <c r="I533" s="25"/>
      <c r="J533" s="25"/>
      <c r="L533" s="25"/>
      <c r="O533" s="104"/>
      <c r="P533" s="19"/>
      <c r="Q533" s="19"/>
      <c r="R533" s="19"/>
      <c r="S533" s="19"/>
      <c r="T533" s="19"/>
      <c r="U533" s="19"/>
      <c r="V533" s="19"/>
    </row>
    <row r="534" spans="3:22" ht="15">
      <c r="C534" s="118"/>
      <c r="D534" s="25"/>
      <c r="E534" s="25"/>
      <c r="F534" s="25"/>
      <c r="G534" s="104"/>
      <c r="H534" s="25"/>
      <c r="I534" s="25"/>
      <c r="J534" s="25"/>
      <c r="L534" s="25"/>
      <c r="O534" s="104"/>
      <c r="P534" s="19"/>
      <c r="Q534" s="19"/>
      <c r="R534" s="19"/>
      <c r="S534" s="19"/>
      <c r="T534" s="19"/>
      <c r="U534" s="19"/>
      <c r="V534" s="19"/>
    </row>
    <row r="535" spans="3:22" ht="15">
      <c r="C535" s="118"/>
      <c r="D535" s="25"/>
      <c r="E535" s="25"/>
      <c r="F535" s="25"/>
      <c r="G535" s="104"/>
      <c r="H535" s="25"/>
      <c r="I535" s="25"/>
      <c r="J535" s="25"/>
      <c r="L535" s="25"/>
      <c r="O535" s="104"/>
      <c r="P535" s="19"/>
      <c r="Q535" s="19"/>
      <c r="R535" s="19"/>
      <c r="S535" s="19"/>
      <c r="T535" s="19"/>
      <c r="U535" s="19"/>
      <c r="V535" s="19"/>
    </row>
    <row r="536" spans="3:22" ht="15">
      <c r="C536" s="118"/>
      <c r="D536" s="25"/>
      <c r="E536" s="25"/>
      <c r="F536" s="25"/>
      <c r="G536" s="104"/>
      <c r="H536" s="25"/>
      <c r="I536" s="25"/>
      <c r="J536" s="25"/>
      <c r="L536" s="25"/>
      <c r="O536" s="104"/>
      <c r="P536" s="19"/>
      <c r="Q536" s="19"/>
      <c r="R536" s="19"/>
      <c r="S536" s="19"/>
      <c r="T536" s="19"/>
      <c r="U536" s="19"/>
      <c r="V536" s="19"/>
    </row>
    <row r="537" spans="3:22" ht="15">
      <c r="C537" s="118"/>
      <c r="D537" s="25"/>
      <c r="E537" s="25"/>
      <c r="F537" s="25"/>
      <c r="G537" s="104"/>
      <c r="H537" s="25"/>
      <c r="I537" s="25"/>
      <c r="J537" s="25"/>
      <c r="L537" s="25"/>
      <c r="O537" s="104"/>
      <c r="P537" s="19"/>
      <c r="Q537" s="19"/>
      <c r="R537" s="19"/>
      <c r="S537" s="19"/>
      <c r="T537" s="19"/>
      <c r="U537" s="19"/>
      <c r="V537" s="19"/>
    </row>
    <row r="538" spans="3:22" ht="15">
      <c r="C538" s="118"/>
      <c r="D538" s="25"/>
      <c r="E538" s="25"/>
      <c r="F538" s="25"/>
      <c r="G538" s="104"/>
      <c r="H538" s="25"/>
      <c r="I538" s="25"/>
      <c r="J538" s="25"/>
      <c r="L538" s="25"/>
      <c r="O538" s="104"/>
      <c r="P538" s="19"/>
      <c r="Q538" s="19"/>
      <c r="R538" s="19"/>
      <c r="S538" s="19"/>
      <c r="T538" s="19"/>
      <c r="U538" s="19"/>
      <c r="V538" s="19"/>
    </row>
    <row r="539" spans="3:22" ht="15">
      <c r="C539" s="118"/>
      <c r="D539" s="25"/>
      <c r="E539" s="25"/>
      <c r="F539" s="25"/>
      <c r="G539" s="104"/>
      <c r="H539" s="25"/>
      <c r="I539" s="25"/>
      <c r="J539" s="25"/>
      <c r="L539" s="25"/>
      <c r="O539" s="104"/>
      <c r="P539" s="19"/>
      <c r="Q539" s="19"/>
      <c r="R539" s="19"/>
      <c r="S539" s="19"/>
      <c r="T539" s="19"/>
      <c r="U539" s="19"/>
      <c r="V539" s="19"/>
    </row>
    <row r="540" spans="3:22" ht="15">
      <c r="C540" s="118"/>
      <c r="D540" s="25"/>
      <c r="E540" s="25"/>
      <c r="F540" s="25"/>
      <c r="G540" s="104"/>
      <c r="H540" s="25"/>
      <c r="I540" s="25"/>
      <c r="J540" s="25"/>
      <c r="L540" s="25"/>
      <c r="O540" s="104"/>
      <c r="P540" s="19"/>
      <c r="Q540" s="19"/>
      <c r="R540" s="19"/>
      <c r="S540" s="19"/>
      <c r="T540" s="19"/>
      <c r="U540" s="19"/>
      <c r="V540" s="19"/>
    </row>
    <row r="541" spans="3:22" ht="15">
      <c r="C541" s="118"/>
      <c r="D541" s="25"/>
      <c r="E541" s="25"/>
      <c r="F541" s="25"/>
      <c r="G541" s="104"/>
      <c r="H541" s="25"/>
      <c r="I541" s="25"/>
      <c r="J541" s="25"/>
      <c r="L541" s="25"/>
      <c r="O541" s="104"/>
      <c r="P541" s="19"/>
      <c r="Q541" s="19"/>
      <c r="R541" s="19"/>
      <c r="S541" s="19"/>
      <c r="T541" s="19"/>
      <c r="U541" s="19"/>
      <c r="V541" s="19"/>
    </row>
    <row r="542" spans="3:22" ht="15">
      <c r="C542" s="118"/>
      <c r="D542" s="25"/>
      <c r="E542" s="25"/>
      <c r="F542" s="25"/>
      <c r="G542" s="104"/>
      <c r="H542" s="25"/>
      <c r="I542" s="25"/>
      <c r="J542" s="25"/>
      <c r="L542" s="25"/>
      <c r="O542" s="104"/>
      <c r="P542" s="19"/>
      <c r="Q542" s="19"/>
      <c r="R542" s="19"/>
      <c r="S542" s="19"/>
      <c r="T542" s="19"/>
      <c r="U542" s="19"/>
      <c r="V542" s="19"/>
    </row>
    <row r="543" spans="3:22" ht="15">
      <c r="C543" s="118"/>
      <c r="D543" s="25"/>
      <c r="E543" s="25"/>
      <c r="F543" s="25"/>
      <c r="G543" s="104"/>
      <c r="H543" s="25"/>
      <c r="I543" s="25"/>
      <c r="J543" s="25"/>
      <c r="L543" s="25"/>
      <c r="O543" s="104"/>
      <c r="P543" s="19"/>
      <c r="Q543" s="19"/>
      <c r="R543" s="19"/>
      <c r="S543" s="19"/>
      <c r="T543" s="19"/>
      <c r="U543" s="19"/>
      <c r="V543" s="19"/>
    </row>
    <row r="544" spans="3:22" ht="15">
      <c r="C544" s="118"/>
      <c r="D544" s="25"/>
      <c r="E544" s="25"/>
      <c r="F544" s="25"/>
      <c r="G544" s="104"/>
      <c r="H544" s="25"/>
      <c r="I544" s="25"/>
      <c r="J544" s="25"/>
      <c r="L544" s="25"/>
      <c r="O544" s="104"/>
      <c r="P544" s="19"/>
      <c r="Q544" s="19"/>
      <c r="R544" s="19"/>
      <c r="S544" s="19"/>
      <c r="T544" s="19"/>
      <c r="U544" s="19"/>
      <c r="V544" s="19"/>
    </row>
    <row r="545" spans="3:22" ht="15">
      <c r="C545" s="118"/>
      <c r="D545" s="25"/>
      <c r="E545" s="25"/>
      <c r="F545" s="25"/>
      <c r="G545" s="104"/>
      <c r="H545" s="25"/>
      <c r="I545" s="25"/>
      <c r="J545" s="25"/>
      <c r="L545" s="25"/>
      <c r="O545" s="104"/>
      <c r="P545" s="19"/>
      <c r="Q545" s="19"/>
      <c r="R545" s="19"/>
      <c r="S545" s="19"/>
      <c r="T545" s="19"/>
      <c r="U545" s="19"/>
      <c r="V545" s="19"/>
    </row>
    <row r="546" spans="3:22" ht="15">
      <c r="C546" s="118"/>
      <c r="D546" s="25"/>
      <c r="E546" s="25"/>
      <c r="F546" s="25"/>
      <c r="G546" s="104"/>
      <c r="H546" s="25"/>
      <c r="I546" s="25"/>
      <c r="J546" s="25"/>
      <c r="L546" s="25"/>
      <c r="O546" s="104"/>
      <c r="P546" s="19"/>
      <c r="Q546" s="19"/>
      <c r="R546" s="19"/>
      <c r="S546" s="19"/>
      <c r="T546" s="19"/>
      <c r="U546" s="19"/>
      <c r="V546" s="19"/>
    </row>
    <row r="547" spans="3:22" ht="15">
      <c r="C547" s="118"/>
      <c r="D547" s="25"/>
      <c r="E547" s="25"/>
      <c r="F547" s="25"/>
      <c r="G547" s="104"/>
      <c r="H547" s="25"/>
      <c r="I547" s="25"/>
      <c r="J547" s="25"/>
      <c r="L547" s="25"/>
      <c r="O547" s="104"/>
      <c r="P547" s="19"/>
      <c r="Q547" s="19"/>
      <c r="R547" s="19"/>
      <c r="S547" s="19"/>
      <c r="T547" s="19"/>
      <c r="U547" s="19"/>
      <c r="V547" s="19"/>
    </row>
    <row r="548" spans="3:22" ht="15">
      <c r="C548" s="118"/>
      <c r="D548" s="25"/>
      <c r="E548" s="25"/>
      <c r="F548" s="25"/>
      <c r="G548" s="104"/>
      <c r="H548" s="25"/>
      <c r="I548" s="25"/>
      <c r="J548" s="25"/>
      <c r="L548" s="25"/>
      <c r="O548" s="104"/>
      <c r="P548" s="19"/>
      <c r="Q548" s="19"/>
      <c r="R548" s="19"/>
      <c r="S548" s="19"/>
      <c r="T548" s="19"/>
      <c r="U548" s="19"/>
      <c r="V548" s="19"/>
    </row>
    <row r="549" spans="3:22" ht="15">
      <c r="C549" s="118"/>
      <c r="D549" s="25"/>
      <c r="E549" s="25"/>
      <c r="F549" s="25"/>
      <c r="G549" s="104"/>
      <c r="H549" s="25"/>
      <c r="I549" s="25"/>
      <c r="J549" s="25"/>
      <c r="L549" s="25"/>
      <c r="O549" s="104"/>
      <c r="P549" s="19"/>
      <c r="Q549" s="19"/>
      <c r="R549" s="19"/>
      <c r="S549" s="19"/>
      <c r="T549" s="19"/>
      <c r="U549" s="19"/>
      <c r="V549" s="19"/>
    </row>
    <row r="550" spans="3:22" ht="15">
      <c r="C550" s="118"/>
      <c r="D550" s="25"/>
      <c r="E550" s="25"/>
      <c r="F550" s="25"/>
      <c r="G550" s="104"/>
      <c r="H550" s="25"/>
      <c r="I550" s="25"/>
      <c r="J550" s="25"/>
      <c r="L550" s="25"/>
      <c r="O550" s="104"/>
      <c r="P550" s="19"/>
      <c r="Q550" s="19"/>
      <c r="R550" s="19"/>
      <c r="S550" s="19"/>
      <c r="T550" s="19"/>
      <c r="U550" s="19"/>
      <c r="V550" s="19"/>
    </row>
    <row r="551" spans="3:22" ht="15">
      <c r="C551" s="118"/>
      <c r="D551" s="25"/>
      <c r="E551" s="25"/>
      <c r="F551" s="25"/>
      <c r="G551" s="104"/>
      <c r="H551" s="25"/>
      <c r="I551" s="25"/>
      <c r="J551" s="25"/>
      <c r="L551" s="25"/>
      <c r="O551" s="104"/>
      <c r="P551" s="19"/>
      <c r="Q551" s="19"/>
      <c r="R551" s="19"/>
      <c r="S551" s="19"/>
      <c r="T551" s="19"/>
      <c r="U551" s="19"/>
      <c r="V551" s="19"/>
    </row>
    <row r="552" spans="3:22" ht="15">
      <c r="C552" s="118"/>
      <c r="D552" s="25"/>
      <c r="E552" s="25"/>
      <c r="F552" s="25"/>
      <c r="G552" s="104"/>
      <c r="H552" s="25"/>
      <c r="I552" s="25"/>
      <c r="J552" s="25"/>
      <c r="L552" s="25"/>
      <c r="O552" s="104"/>
      <c r="P552" s="19"/>
      <c r="Q552" s="19"/>
      <c r="R552" s="19"/>
      <c r="S552" s="19"/>
      <c r="T552" s="19"/>
      <c r="U552" s="19"/>
      <c r="V552" s="19"/>
    </row>
    <row r="553" spans="3:22" ht="15">
      <c r="C553" s="118"/>
      <c r="D553" s="25"/>
      <c r="E553" s="25"/>
      <c r="F553" s="25"/>
      <c r="G553" s="104"/>
      <c r="H553" s="25"/>
      <c r="I553" s="25"/>
      <c r="J553" s="25"/>
      <c r="L553" s="25"/>
      <c r="O553" s="104"/>
      <c r="P553" s="19"/>
      <c r="Q553" s="19"/>
      <c r="R553" s="19"/>
      <c r="S553" s="19"/>
      <c r="T553" s="19"/>
      <c r="U553" s="19"/>
      <c r="V553" s="19"/>
    </row>
    <row r="554" spans="3:22" ht="15">
      <c r="C554" s="118"/>
      <c r="D554" s="25"/>
      <c r="E554" s="25"/>
      <c r="F554" s="25"/>
      <c r="G554" s="104"/>
      <c r="H554" s="25"/>
      <c r="I554" s="25"/>
      <c r="J554" s="25"/>
      <c r="L554" s="25"/>
      <c r="O554" s="104"/>
      <c r="P554" s="19"/>
      <c r="Q554" s="19"/>
      <c r="R554" s="19"/>
      <c r="S554" s="19"/>
      <c r="T554" s="19"/>
      <c r="U554" s="19"/>
      <c r="V554" s="19"/>
    </row>
    <row r="555" spans="3:22" ht="15">
      <c r="C555" s="118"/>
      <c r="D555" s="25"/>
      <c r="E555" s="25"/>
      <c r="F555" s="25"/>
      <c r="G555" s="104"/>
      <c r="H555" s="25"/>
      <c r="I555" s="25"/>
      <c r="J555" s="25"/>
      <c r="L555" s="25"/>
      <c r="O555" s="104"/>
      <c r="P555" s="19"/>
      <c r="Q555" s="19"/>
      <c r="R555" s="19"/>
      <c r="S555" s="19"/>
      <c r="T555" s="19"/>
      <c r="U555" s="19"/>
      <c r="V555" s="19"/>
    </row>
    <row r="556" spans="3:22" ht="15">
      <c r="C556" s="118"/>
      <c r="D556" s="25"/>
      <c r="E556" s="25"/>
      <c r="F556" s="25"/>
      <c r="G556" s="104"/>
      <c r="H556" s="25"/>
      <c r="I556" s="25"/>
      <c r="J556" s="25"/>
      <c r="L556" s="25"/>
      <c r="O556" s="104"/>
      <c r="P556" s="19"/>
      <c r="Q556" s="19"/>
      <c r="R556" s="19"/>
      <c r="S556" s="19"/>
      <c r="T556" s="19"/>
      <c r="U556" s="19"/>
      <c r="V556" s="19"/>
    </row>
    <row r="557" spans="3:22" ht="15">
      <c r="C557" s="118"/>
      <c r="D557" s="25"/>
      <c r="E557" s="25"/>
      <c r="F557" s="25"/>
      <c r="G557" s="104"/>
      <c r="H557" s="25"/>
      <c r="I557" s="25"/>
      <c r="J557" s="25"/>
      <c r="L557" s="25"/>
      <c r="O557" s="104"/>
      <c r="P557" s="19"/>
      <c r="Q557" s="19"/>
      <c r="R557" s="19"/>
      <c r="S557" s="19"/>
      <c r="T557" s="19"/>
      <c r="U557" s="19"/>
      <c r="V557" s="19"/>
    </row>
    <row r="558" spans="3:22" ht="15">
      <c r="C558" s="118"/>
      <c r="D558" s="25"/>
      <c r="E558" s="25"/>
      <c r="F558" s="25"/>
      <c r="G558" s="104"/>
      <c r="H558" s="25"/>
      <c r="I558" s="25"/>
      <c r="J558" s="25"/>
      <c r="L558" s="25"/>
      <c r="O558" s="104"/>
      <c r="P558" s="19"/>
      <c r="Q558" s="19"/>
      <c r="R558" s="19"/>
      <c r="S558" s="19"/>
      <c r="T558" s="19"/>
      <c r="U558" s="19"/>
      <c r="V558" s="19"/>
    </row>
    <row r="559" spans="3:22" ht="15">
      <c r="C559" s="118"/>
      <c r="D559" s="25"/>
      <c r="E559" s="25"/>
      <c r="F559" s="25"/>
      <c r="G559" s="104"/>
      <c r="H559" s="25"/>
      <c r="I559" s="25"/>
      <c r="J559" s="25"/>
      <c r="L559" s="25"/>
      <c r="O559" s="104"/>
      <c r="P559" s="19"/>
      <c r="Q559" s="19"/>
      <c r="R559" s="19"/>
      <c r="S559" s="19"/>
      <c r="T559" s="19"/>
      <c r="U559" s="19"/>
      <c r="V559" s="19"/>
    </row>
    <row r="560" spans="3:22" ht="15">
      <c r="C560" s="118"/>
      <c r="D560" s="25"/>
      <c r="E560" s="25"/>
      <c r="F560" s="25"/>
      <c r="G560" s="104"/>
      <c r="H560" s="25"/>
      <c r="I560" s="25"/>
      <c r="J560" s="25"/>
      <c r="L560" s="25"/>
      <c r="O560" s="104"/>
      <c r="P560" s="19"/>
      <c r="Q560" s="19"/>
      <c r="R560" s="19"/>
      <c r="S560" s="19"/>
      <c r="T560" s="19"/>
      <c r="U560" s="19"/>
      <c r="V560" s="19"/>
    </row>
    <row r="561" spans="3:22" ht="15">
      <c r="C561" s="118"/>
      <c r="D561" s="25"/>
      <c r="E561" s="25"/>
      <c r="F561" s="25"/>
      <c r="G561" s="104"/>
      <c r="H561" s="25"/>
      <c r="I561" s="25"/>
      <c r="J561" s="25"/>
      <c r="L561" s="25"/>
      <c r="O561" s="104"/>
      <c r="P561" s="19"/>
      <c r="Q561" s="19"/>
      <c r="R561" s="19"/>
      <c r="S561" s="19"/>
      <c r="T561" s="19"/>
      <c r="U561" s="19"/>
      <c r="V561" s="19"/>
    </row>
    <row r="562" spans="3:22" ht="15">
      <c r="C562" s="118"/>
      <c r="D562" s="25"/>
      <c r="E562" s="25"/>
      <c r="F562" s="25"/>
      <c r="G562" s="104"/>
      <c r="H562" s="25"/>
      <c r="I562" s="25"/>
      <c r="J562" s="25"/>
      <c r="L562" s="25"/>
      <c r="O562" s="104"/>
      <c r="P562" s="19"/>
      <c r="Q562" s="19"/>
      <c r="R562" s="19"/>
      <c r="S562" s="19"/>
      <c r="T562" s="19"/>
      <c r="U562" s="19"/>
      <c r="V562" s="19"/>
    </row>
    <row r="563" spans="3:22" ht="15">
      <c r="C563" s="118"/>
      <c r="D563" s="25"/>
      <c r="E563" s="25"/>
      <c r="F563" s="25"/>
      <c r="G563" s="104"/>
      <c r="H563" s="25"/>
      <c r="I563" s="25"/>
      <c r="J563" s="25"/>
      <c r="L563" s="25"/>
      <c r="O563" s="104"/>
      <c r="P563" s="19"/>
      <c r="Q563" s="19"/>
      <c r="R563" s="19"/>
      <c r="S563" s="19"/>
      <c r="T563" s="19"/>
      <c r="U563" s="19"/>
      <c r="V563" s="19"/>
    </row>
    <row r="564" spans="3:22" ht="15">
      <c r="C564" s="118"/>
      <c r="D564" s="25"/>
      <c r="E564" s="25"/>
      <c r="F564" s="25"/>
      <c r="G564" s="104"/>
      <c r="H564" s="25"/>
      <c r="I564" s="25"/>
      <c r="J564" s="25"/>
      <c r="L564" s="25"/>
      <c r="O564" s="104"/>
      <c r="P564" s="19"/>
      <c r="Q564" s="19"/>
      <c r="R564" s="19"/>
      <c r="S564" s="19"/>
      <c r="T564" s="19"/>
      <c r="U564" s="19"/>
      <c r="V564" s="19"/>
    </row>
    <row r="565" spans="3:22" ht="15">
      <c r="C565" s="118"/>
      <c r="D565" s="25"/>
      <c r="E565" s="25"/>
      <c r="F565" s="25"/>
      <c r="G565" s="104"/>
      <c r="H565" s="25"/>
      <c r="I565" s="25"/>
      <c r="J565" s="25"/>
      <c r="L565" s="25"/>
      <c r="O565" s="104"/>
      <c r="P565" s="19"/>
      <c r="Q565" s="19"/>
      <c r="R565" s="19"/>
      <c r="S565" s="19"/>
      <c r="T565" s="19"/>
      <c r="U565" s="19"/>
      <c r="V565" s="19"/>
    </row>
    <row r="566" spans="3:22" ht="15">
      <c r="C566" s="118"/>
      <c r="D566" s="25"/>
      <c r="E566" s="25"/>
      <c r="F566" s="25"/>
      <c r="G566" s="104"/>
      <c r="H566" s="25"/>
      <c r="I566" s="25"/>
      <c r="J566" s="25"/>
      <c r="L566" s="25"/>
      <c r="O566" s="104"/>
      <c r="P566" s="19"/>
      <c r="Q566" s="19"/>
      <c r="R566" s="19"/>
      <c r="S566" s="19"/>
      <c r="T566" s="19"/>
      <c r="U566" s="19"/>
      <c r="V566" s="19"/>
    </row>
    <row r="567" spans="3:22" ht="15">
      <c r="C567" s="118"/>
      <c r="D567" s="25"/>
      <c r="E567" s="25"/>
      <c r="F567" s="25"/>
      <c r="G567" s="104"/>
      <c r="H567" s="25"/>
      <c r="I567" s="25"/>
      <c r="J567" s="25"/>
      <c r="L567" s="25"/>
      <c r="O567" s="104"/>
      <c r="P567" s="19"/>
      <c r="Q567" s="19"/>
      <c r="R567" s="19"/>
      <c r="S567" s="19"/>
      <c r="T567" s="19"/>
      <c r="U567" s="19"/>
      <c r="V567" s="19"/>
    </row>
    <row r="568" spans="3:22" ht="15">
      <c r="C568" s="118"/>
      <c r="D568" s="25"/>
      <c r="E568" s="25"/>
      <c r="F568" s="25"/>
      <c r="G568" s="104"/>
      <c r="H568" s="25"/>
      <c r="I568" s="25"/>
      <c r="J568" s="25"/>
      <c r="L568" s="25"/>
      <c r="O568" s="104"/>
      <c r="P568" s="19"/>
      <c r="Q568" s="19"/>
      <c r="R568" s="19"/>
      <c r="S568" s="19"/>
      <c r="T568" s="19"/>
      <c r="U568" s="19"/>
      <c r="V568" s="19"/>
    </row>
    <row r="569" spans="3:22" ht="15">
      <c r="C569" s="118"/>
      <c r="D569" s="25"/>
      <c r="E569" s="25"/>
      <c r="F569" s="25"/>
      <c r="G569" s="104"/>
      <c r="H569" s="25"/>
      <c r="I569" s="25"/>
      <c r="J569" s="25"/>
      <c r="L569" s="25"/>
      <c r="O569" s="104"/>
      <c r="P569" s="19"/>
      <c r="Q569" s="19"/>
      <c r="R569" s="19"/>
      <c r="S569" s="19"/>
      <c r="T569" s="19"/>
      <c r="U569" s="19"/>
      <c r="V569" s="19"/>
    </row>
    <row r="570" spans="3:22" ht="15">
      <c r="C570" s="118"/>
      <c r="D570" s="25"/>
      <c r="E570" s="25"/>
      <c r="F570" s="25"/>
      <c r="G570" s="104"/>
      <c r="H570" s="25"/>
      <c r="I570" s="25"/>
      <c r="J570" s="25"/>
      <c r="L570" s="25"/>
      <c r="O570" s="104"/>
      <c r="P570" s="19"/>
      <c r="Q570" s="19"/>
      <c r="R570" s="19"/>
      <c r="S570" s="19"/>
      <c r="T570" s="19"/>
      <c r="U570" s="19"/>
      <c r="V570" s="19"/>
    </row>
    <row r="571" spans="3:22" ht="15">
      <c r="C571" s="118"/>
      <c r="D571" s="25"/>
      <c r="E571" s="25"/>
      <c r="F571" s="25"/>
      <c r="G571" s="104"/>
      <c r="H571" s="25"/>
      <c r="I571" s="25"/>
      <c r="J571" s="25"/>
      <c r="L571" s="25"/>
      <c r="O571" s="104"/>
      <c r="P571" s="19"/>
      <c r="Q571" s="19"/>
      <c r="R571" s="19"/>
      <c r="S571" s="19"/>
      <c r="T571" s="19"/>
      <c r="U571" s="19"/>
      <c r="V571" s="19"/>
    </row>
    <row r="572" spans="3:22" ht="15">
      <c r="C572" s="118"/>
      <c r="D572" s="25"/>
      <c r="E572" s="25"/>
      <c r="F572" s="25"/>
      <c r="G572" s="104"/>
      <c r="H572" s="25"/>
      <c r="I572" s="25"/>
      <c r="J572" s="25"/>
      <c r="L572" s="25"/>
      <c r="O572" s="104"/>
      <c r="P572" s="19"/>
      <c r="Q572" s="19"/>
      <c r="R572" s="19"/>
      <c r="S572" s="19"/>
      <c r="T572" s="19"/>
      <c r="U572" s="19"/>
      <c r="V572" s="19"/>
    </row>
    <row r="573" spans="3:22" ht="15">
      <c r="C573" s="118"/>
      <c r="D573" s="25"/>
      <c r="E573" s="25"/>
      <c r="F573" s="25"/>
      <c r="G573" s="104"/>
      <c r="H573" s="25"/>
      <c r="I573" s="25"/>
      <c r="J573" s="25"/>
      <c r="L573" s="25"/>
      <c r="O573" s="104"/>
      <c r="P573" s="19"/>
      <c r="Q573" s="19"/>
      <c r="R573" s="19"/>
      <c r="S573" s="19"/>
      <c r="T573" s="19"/>
      <c r="U573" s="19"/>
      <c r="V573" s="19"/>
    </row>
    <row r="574" spans="3:22" ht="15">
      <c r="C574" s="118"/>
      <c r="D574" s="25"/>
      <c r="E574" s="25"/>
      <c r="F574" s="25"/>
      <c r="G574" s="104"/>
      <c r="H574" s="25"/>
      <c r="I574" s="25"/>
      <c r="J574" s="25"/>
      <c r="L574" s="25"/>
      <c r="O574" s="104"/>
      <c r="P574" s="19"/>
      <c r="Q574" s="19"/>
      <c r="R574" s="19"/>
      <c r="S574" s="19"/>
      <c r="T574" s="19"/>
      <c r="U574" s="19"/>
      <c r="V574" s="19"/>
    </row>
    <row r="575" spans="3:22" ht="15">
      <c r="C575" s="118"/>
      <c r="D575" s="25"/>
      <c r="E575" s="25"/>
      <c r="F575" s="25"/>
      <c r="G575" s="104"/>
      <c r="H575" s="25"/>
      <c r="I575" s="25"/>
      <c r="J575" s="25"/>
      <c r="L575" s="25"/>
      <c r="O575" s="104"/>
      <c r="P575" s="19"/>
      <c r="Q575" s="19"/>
      <c r="R575" s="19"/>
      <c r="S575" s="19"/>
      <c r="T575" s="19"/>
      <c r="U575" s="19"/>
      <c r="V575" s="19"/>
    </row>
    <row r="576" spans="3:22" ht="15">
      <c r="C576" s="118"/>
      <c r="D576" s="25"/>
      <c r="E576" s="25"/>
      <c r="F576" s="25"/>
      <c r="G576" s="104"/>
      <c r="H576" s="25"/>
      <c r="I576" s="25"/>
      <c r="J576" s="25"/>
      <c r="L576" s="25"/>
      <c r="O576" s="104"/>
      <c r="P576" s="19"/>
      <c r="Q576" s="19"/>
      <c r="R576" s="19"/>
      <c r="S576" s="19"/>
      <c r="T576" s="19"/>
      <c r="U576" s="19"/>
      <c r="V576" s="19"/>
    </row>
    <row r="577" spans="3:22" ht="15">
      <c r="C577" s="118"/>
      <c r="D577" s="25"/>
      <c r="E577" s="25"/>
      <c r="F577" s="25"/>
      <c r="G577" s="104"/>
      <c r="H577" s="25"/>
      <c r="I577" s="25"/>
      <c r="J577" s="25"/>
      <c r="L577" s="25"/>
      <c r="O577" s="104"/>
      <c r="P577" s="19"/>
      <c r="Q577" s="19"/>
      <c r="R577" s="19"/>
      <c r="S577" s="19"/>
      <c r="T577" s="19"/>
      <c r="U577" s="19"/>
      <c r="V577" s="19"/>
    </row>
    <row r="578" spans="3:22" ht="15">
      <c r="C578" s="118"/>
      <c r="D578" s="25"/>
      <c r="E578" s="25"/>
      <c r="F578" s="25"/>
      <c r="G578" s="104"/>
      <c r="H578" s="25"/>
      <c r="I578" s="25"/>
      <c r="J578" s="25"/>
      <c r="L578" s="25"/>
      <c r="O578" s="104"/>
      <c r="P578" s="19"/>
      <c r="Q578" s="19"/>
      <c r="R578" s="19"/>
      <c r="S578" s="19"/>
      <c r="T578" s="19"/>
      <c r="U578" s="19"/>
      <c r="V578" s="19"/>
    </row>
    <row r="579" spans="3:22" ht="15">
      <c r="C579" s="118"/>
      <c r="D579" s="25"/>
      <c r="E579" s="25"/>
      <c r="F579" s="25"/>
      <c r="G579" s="104"/>
      <c r="H579" s="25"/>
      <c r="I579" s="25"/>
      <c r="J579" s="25"/>
      <c r="L579" s="25"/>
      <c r="O579" s="104"/>
      <c r="P579" s="19"/>
      <c r="Q579" s="19"/>
      <c r="R579" s="19"/>
      <c r="S579" s="19"/>
      <c r="T579" s="19"/>
      <c r="U579" s="19"/>
      <c r="V579" s="19"/>
    </row>
    <row r="580" spans="3:22" ht="15">
      <c r="C580" s="118"/>
      <c r="D580" s="25"/>
      <c r="E580" s="25"/>
      <c r="F580" s="25"/>
      <c r="G580" s="104"/>
      <c r="H580" s="25"/>
      <c r="I580" s="25"/>
      <c r="J580" s="25"/>
      <c r="L580" s="25"/>
      <c r="O580" s="104"/>
      <c r="P580" s="19"/>
      <c r="Q580" s="19"/>
      <c r="R580" s="19"/>
      <c r="S580" s="19"/>
      <c r="T580" s="19"/>
      <c r="U580" s="19"/>
      <c r="V580" s="19"/>
    </row>
    <row r="581" spans="3:22" ht="15">
      <c r="C581" s="118"/>
      <c r="D581" s="25"/>
      <c r="E581" s="25"/>
      <c r="F581" s="25"/>
      <c r="G581" s="104"/>
      <c r="H581" s="25"/>
      <c r="I581" s="25"/>
      <c r="J581" s="25"/>
      <c r="L581" s="25"/>
      <c r="O581" s="104"/>
      <c r="P581" s="19"/>
      <c r="Q581" s="19"/>
      <c r="R581" s="19"/>
      <c r="S581" s="19"/>
      <c r="T581" s="19"/>
      <c r="U581" s="19"/>
      <c r="V581" s="19"/>
    </row>
    <row r="582" spans="3:22" ht="15">
      <c r="C582" s="118"/>
      <c r="D582" s="25"/>
      <c r="E582" s="25"/>
      <c r="F582" s="25"/>
      <c r="G582" s="104"/>
      <c r="H582" s="25"/>
      <c r="I582" s="25"/>
      <c r="J582" s="25"/>
      <c r="L582" s="25"/>
      <c r="O582" s="104"/>
      <c r="P582" s="19"/>
      <c r="Q582" s="19"/>
      <c r="R582" s="19"/>
      <c r="S582" s="19"/>
      <c r="T582" s="19"/>
      <c r="U582" s="19"/>
      <c r="V582" s="19"/>
    </row>
    <row r="583" spans="3:22" ht="15">
      <c r="C583" s="118"/>
      <c r="D583" s="25"/>
      <c r="E583" s="25"/>
      <c r="F583" s="25"/>
      <c r="G583" s="104"/>
      <c r="H583" s="25"/>
      <c r="I583" s="25"/>
      <c r="J583" s="25"/>
      <c r="L583" s="25"/>
      <c r="O583" s="104"/>
      <c r="P583" s="19"/>
      <c r="Q583" s="19"/>
      <c r="R583" s="19"/>
      <c r="S583" s="19"/>
      <c r="T583" s="19"/>
      <c r="U583" s="19"/>
      <c r="V583" s="19"/>
    </row>
    <row r="584" spans="3:22" ht="15">
      <c r="C584" s="118"/>
      <c r="D584" s="25"/>
      <c r="E584" s="25"/>
      <c r="F584" s="25"/>
      <c r="G584" s="104"/>
      <c r="H584" s="25"/>
      <c r="I584" s="25"/>
      <c r="J584" s="25"/>
      <c r="L584" s="25"/>
      <c r="O584" s="104"/>
      <c r="P584" s="19"/>
      <c r="Q584" s="19"/>
      <c r="R584" s="19"/>
      <c r="S584" s="19"/>
      <c r="T584" s="19"/>
      <c r="U584" s="19"/>
      <c r="V584" s="19"/>
    </row>
    <row r="585" spans="3:22" ht="15">
      <c r="C585" s="118"/>
      <c r="D585" s="25"/>
      <c r="E585" s="25"/>
      <c r="F585" s="25"/>
      <c r="G585" s="104"/>
      <c r="H585" s="25"/>
      <c r="I585" s="25"/>
      <c r="J585" s="25"/>
      <c r="L585" s="25"/>
      <c r="O585" s="104"/>
      <c r="P585" s="19"/>
      <c r="Q585" s="19"/>
      <c r="R585" s="19"/>
      <c r="S585" s="19"/>
      <c r="T585" s="19"/>
      <c r="U585" s="19"/>
      <c r="V585" s="19"/>
    </row>
    <row r="586" spans="3:22" ht="15">
      <c r="C586" s="118"/>
      <c r="D586" s="25"/>
      <c r="E586" s="25"/>
      <c r="F586" s="25"/>
      <c r="G586" s="104"/>
      <c r="H586" s="25"/>
      <c r="I586" s="25"/>
      <c r="J586" s="25"/>
      <c r="L586" s="25"/>
      <c r="O586" s="104"/>
      <c r="P586" s="19"/>
      <c r="Q586" s="19"/>
      <c r="R586" s="19"/>
      <c r="S586" s="19"/>
      <c r="T586" s="19"/>
      <c r="U586" s="19"/>
      <c r="V586" s="19"/>
    </row>
    <row r="587" spans="3:22" ht="15">
      <c r="C587" s="118"/>
      <c r="D587" s="25"/>
      <c r="E587" s="25"/>
      <c r="F587" s="25"/>
      <c r="G587" s="104"/>
      <c r="H587" s="25"/>
      <c r="I587" s="25"/>
      <c r="J587" s="25"/>
      <c r="L587" s="25"/>
      <c r="O587" s="104"/>
      <c r="P587" s="19"/>
      <c r="Q587" s="19"/>
      <c r="R587" s="19"/>
      <c r="S587" s="19"/>
      <c r="T587" s="19"/>
      <c r="U587" s="19"/>
      <c r="V587" s="19"/>
    </row>
    <row r="588" spans="3:22" ht="15">
      <c r="C588" s="118"/>
      <c r="D588" s="25"/>
      <c r="E588" s="25"/>
      <c r="F588" s="25"/>
      <c r="G588" s="104"/>
      <c r="H588" s="25"/>
      <c r="I588" s="25"/>
      <c r="J588" s="25"/>
      <c r="L588" s="25"/>
      <c r="O588" s="104"/>
      <c r="P588" s="19"/>
      <c r="Q588" s="19"/>
      <c r="R588" s="19"/>
      <c r="S588" s="19"/>
      <c r="T588" s="19"/>
      <c r="U588" s="19"/>
      <c r="V588" s="19"/>
    </row>
    <row r="589" spans="3:22" ht="15">
      <c r="C589" s="118"/>
      <c r="D589" s="25"/>
      <c r="E589" s="25"/>
      <c r="F589" s="25"/>
      <c r="G589" s="104"/>
      <c r="H589" s="25"/>
      <c r="I589" s="25"/>
      <c r="J589" s="25"/>
      <c r="L589" s="25"/>
      <c r="O589" s="104"/>
      <c r="P589" s="19"/>
      <c r="Q589" s="19"/>
      <c r="R589" s="19"/>
      <c r="S589" s="19"/>
      <c r="T589" s="19"/>
      <c r="U589" s="19"/>
      <c r="V589" s="19"/>
    </row>
    <row r="590" spans="3:22" ht="15">
      <c r="C590" s="118"/>
      <c r="D590" s="25"/>
      <c r="E590" s="25"/>
      <c r="F590" s="25"/>
      <c r="G590" s="104"/>
      <c r="H590" s="25"/>
      <c r="I590" s="25"/>
      <c r="J590" s="25"/>
      <c r="L590" s="25"/>
      <c r="O590" s="104"/>
      <c r="P590" s="19"/>
      <c r="Q590" s="19"/>
      <c r="R590" s="19"/>
      <c r="S590" s="19"/>
      <c r="T590" s="19"/>
      <c r="U590" s="19"/>
      <c r="V590" s="19"/>
    </row>
    <row r="591" spans="3:22" ht="15">
      <c r="C591" s="118"/>
      <c r="D591" s="25"/>
      <c r="E591" s="25"/>
      <c r="F591" s="25"/>
      <c r="G591" s="104"/>
      <c r="H591" s="25"/>
      <c r="I591" s="25"/>
      <c r="J591" s="25"/>
      <c r="L591" s="25"/>
      <c r="O591" s="104"/>
      <c r="P591" s="19"/>
      <c r="Q591" s="19"/>
      <c r="R591" s="19"/>
      <c r="S591" s="19"/>
      <c r="T591" s="19"/>
      <c r="U591" s="19"/>
      <c r="V591" s="19"/>
    </row>
    <row r="592" spans="3:22" ht="15">
      <c r="C592" s="118"/>
      <c r="D592" s="25"/>
      <c r="E592" s="25"/>
      <c r="F592" s="25"/>
      <c r="G592" s="104"/>
      <c r="H592" s="25"/>
      <c r="I592" s="25"/>
      <c r="J592" s="25"/>
      <c r="L592" s="25"/>
      <c r="O592" s="104"/>
      <c r="P592" s="19"/>
      <c r="Q592" s="19"/>
      <c r="R592" s="19"/>
      <c r="S592" s="19"/>
      <c r="T592" s="19"/>
      <c r="U592" s="19"/>
      <c r="V592" s="19"/>
    </row>
    <row r="593" spans="3:22" ht="15">
      <c r="C593" s="118"/>
      <c r="D593" s="25"/>
      <c r="E593" s="25"/>
      <c r="F593" s="25"/>
      <c r="G593" s="104"/>
      <c r="H593" s="25"/>
      <c r="I593" s="25"/>
      <c r="J593" s="25"/>
      <c r="L593" s="25"/>
      <c r="O593" s="104"/>
      <c r="P593" s="19"/>
      <c r="Q593" s="19"/>
      <c r="R593" s="19"/>
      <c r="S593" s="19"/>
      <c r="T593" s="19"/>
      <c r="U593" s="19"/>
      <c r="V593" s="19"/>
    </row>
    <row r="594" spans="3:22" ht="15">
      <c r="C594" s="118"/>
      <c r="D594" s="25"/>
      <c r="E594" s="25"/>
      <c r="F594" s="25"/>
      <c r="G594" s="104"/>
      <c r="H594" s="25"/>
      <c r="I594" s="25"/>
      <c r="J594" s="25"/>
      <c r="L594" s="25"/>
      <c r="O594" s="104"/>
      <c r="P594" s="19"/>
      <c r="Q594" s="19"/>
      <c r="R594" s="19"/>
      <c r="S594" s="19"/>
      <c r="T594" s="19"/>
      <c r="U594" s="19"/>
      <c r="V594" s="19"/>
    </row>
    <row r="595" spans="3:22" ht="15">
      <c r="C595" s="118"/>
      <c r="D595" s="25"/>
      <c r="E595" s="25"/>
      <c r="F595" s="25"/>
      <c r="G595" s="104"/>
      <c r="H595" s="25"/>
      <c r="I595" s="25"/>
      <c r="J595" s="25"/>
      <c r="L595" s="25"/>
      <c r="O595" s="104"/>
      <c r="P595" s="19"/>
      <c r="Q595" s="19"/>
      <c r="R595" s="19"/>
      <c r="S595" s="19"/>
      <c r="T595" s="19"/>
      <c r="U595" s="19"/>
      <c r="V595" s="19"/>
    </row>
    <row r="596" spans="3:22" ht="15">
      <c r="C596" s="118"/>
      <c r="D596" s="25"/>
      <c r="E596" s="25"/>
      <c r="F596" s="25"/>
      <c r="G596" s="104"/>
      <c r="H596" s="25"/>
      <c r="I596" s="25"/>
      <c r="J596" s="25"/>
      <c r="L596" s="25"/>
      <c r="O596" s="104"/>
      <c r="P596" s="19"/>
      <c r="Q596" s="19"/>
      <c r="R596" s="19"/>
      <c r="S596" s="19"/>
      <c r="T596" s="19"/>
      <c r="U596" s="19"/>
      <c r="V596" s="19"/>
    </row>
    <row r="597" spans="3:22" ht="15">
      <c r="C597" s="118"/>
      <c r="D597" s="25"/>
      <c r="E597" s="25"/>
      <c r="F597" s="25"/>
      <c r="G597" s="104"/>
      <c r="H597" s="25"/>
      <c r="I597" s="25"/>
      <c r="J597" s="25"/>
      <c r="L597" s="25"/>
      <c r="O597" s="104"/>
      <c r="P597" s="19"/>
      <c r="Q597" s="19"/>
      <c r="R597" s="19"/>
      <c r="S597" s="19"/>
      <c r="T597" s="19"/>
      <c r="U597" s="19"/>
      <c r="V597" s="19"/>
    </row>
    <row r="598" spans="3:22" ht="15">
      <c r="C598" s="118"/>
      <c r="D598" s="25"/>
      <c r="E598" s="25"/>
      <c r="F598" s="25"/>
      <c r="G598" s="104"/>
      <c r="H598" s="25"/>
      <c r="I598" s="25"/>
      <c r="J598" s="25"/>
      <c r="L598" s="25"/>
      <c r="O598" s="104"/>
      <c r="P598" s="19"/>
      <c r="Q598" s="19"/>
      <c r="R598" s="19"/>
      <c r="S598" s="19"/>
      <c r="T598" s="19"/>
      <c r="U598" s="19"/>
      <c r="V598" s="19"/>
    </row>
    <row r="599" spans="3:22" ht="15">
      <c r="C599" s="118"/>
      <c r="D599" s="25"/>
      <c r="E599" s="25"/>
      <c r="F599" s="25"/>
      <c r="G599" s="104"/>
      <c r="H599" s="25"/>
      <c r="I599" s="25"/>
      <c r="J599" s="25"/>
      <c r="L599" s="25"/>
      <c r="O599" s="104"/>
      <c r="P599" s="19"/>
      <c r="Q599" s="19"/>
      <c r="R599" s="19"/>
      <c r="S599" s="19"/>
      <c r="T599" s="19"/>
      <c r="U599" s="19"/>
      <c r="V599" s="19"/>
    </row>
    <row r="600" spans="3:22" ht="15">
      <c r="C600" s="118"/>
      <c r="D600" s="25"/>
      <c r="E600" s="25"/>
      <c r="F600" s="25"/>
      <c r="G600" s="104"/>
      <c r="H600" s="25"/>
      <c r="I600" s="25"/>
      <c r="J600" s="25"/>
      <c r="L600" s="25"/>
      <c r="O600" s="104"/>
      <c r="P600" s="19"/>
      <c r="Q600" s="19"/>
      <c r="R600" s="19"/>
      <c r="S600" s="19"/>
      <c r="T600" s="19"/>
      <c r="U600" s="19"/>
      <c r="V600" s="19"/>
    </row>
    <row r="601" spans="3:22" ht="15">
      <c r="C601" s="118"/>
      <c r="D601" s="25"/>
      <c r="E601" s="25"/>
      <c r="F601" s="25"/>
      <c r="G601" s="104"/>
      <c r="H601" s="25"/>
      <c r="I601" s="25"/>
      <c r="J601" s="25"/>
      <c r="L601" s="25"/>
      <c r="O601" s="104"/>
      <c r="P601" s="19"/>
      <c r="Q601" s="19"/>
      <c r="R601" s="19"/>
      <c r="S601" s="19"/>
      <c r="T601" s="19"/>
      <c r="U601" s="19"/>
      <c r="V601" s="19"/>
    </row>
    <row r="602" spans="3:22" ht="15">
      <c r="C602" s="118"/>
      <c r="D602" s="25"/>
      <c r="E602" s="25"/>
      <c r="F602" s="25"/>
      <c r="G602" s="104"/>
      <c r="H602" s="25"/>
      <c r="I602" s="25"/>
      <c r="J602" s="25"/>
      <c r="L602" s="25"/>
      <c r="O602" s="104"/>
      <c r="P602" s="19"/>
      <c r="Q602" s="19"/>
      <c r="R602" s="19"/>
      <c r="S602" s="19"/>
      <c r="T602" s="19"/>
      <c r="U602" s="19"/>
      <c r="V602" s="19"/>
    </row>
    <row r="603" spans="3:22" ht="15">
      <c r="C603" s="118"/>
      <c r="D603" s="25"/>
      <c r="E603" s="25"/>
      <c r="F603" s="25"/>
      <c r="G603" s="104"/>
      <c r="H603" s="25"/>
      <c r="I603" s="25"/>
      <c r="J603" s="25"/>
      <c r="L603" s="25"/>
      <c r="O603" s="104"/>
      <c r="P603" s="19"/>
      <c r="Q603" s="19"/>
      <c r="R603" s="19"/>
      <c r="S603" s="19"/>
      <c r="T603" s="19"/>
      <c r="U603" s="19"/>
      <c r="V603" s="19"/>
    </row>
    <row r="604" spans="3:22" ht="15">
      <c r="C604" s="118"/>
      <c r="D604" s="25"/>
      <c r="E604" s="25"/>
      <c r="F604" s="25"/>
      <c r="G604" s="104"/>
      <c r="H604" s="25"/>
      <c r="I604" s="25"/>
      <c r="J604" s="25"/>
      <c r="L604" s="25"/>
      <c r="O604" s="104"/>
      <c r="P604" s="19"/>
      <c r="Q604" s="19"/>
      <c r="R604" s="19"/>
      <c r="S604" s="19"/>
      <c r="T604" s="19"/>
      <c r="U604" s="19"/>
      <c r="V604" s="19"/>
    </row>
    <row r="605" spans="3:22" ht="15">
      <c r="C605" s="118"/>
      <c r="D605" s="25"/>
      <c r="E605" s="25"/>
      <c r="F605" s="25"/>
      <c r="G605" s="104"/>
      <c r="H605" s="25"/>
      <c r="I605" s="25"/>
      <c r="J605" s="25"/>
      <c r="L605" s="25"/>
      <c r="O605" s="104"/>
      <c r="P605" s="19"/>
      <c r="Q605" s="19"/>
      <c r="R605" s="19"/>
      <c r="S605" s="19"/>
      <c r="T605" s="19"/>
      <c r="U605" s="19"/>
      <c r="V605" s="19"/>
    </row>
    <row r="606" spans="3:22" ht="15">
      <c r="C606" s="118"/>
      <c r="D606" s="25"/>
      <c r="E606" s="25"/>
      <c r="F606" s="25"/>
      <c r="G606" s="104"/>
      <c r="H606" s="25"/>
      <c r="I606" s="25"/>
      <c r="J606" s="25"/>
      <c r="L606" s="25"/>
      <c r="O606" s="104"/>
      <c r="P606" s="19"/>
      <c r="Q606" s="19"/>
      <c r="R606" s="19"/>
      <c r="S606" s="19"/>
      <c r="T606" s="19"/>
      <c r="U606" s="19"/>
      <c r="V606" s="19"/>
    </row>
    <row r="607" spans="3:22" ht="15">
      <c r="C607" s="118"/>
      <c r="D607" s="25"/>
      <c r="E607" s="25"/>
      <c r="F607" s="25"/>
      <c r="G607" s="104"/>
      <c r="H607" s="25"/>
      <c r="I607" s="25"/>
      <c r="J607" s="25"/>
      <c r="L607" s="25"/>
      <c r="O607" s="104"/>
      <c r="P607" s="19"/>
      <c r="Q607" s="19"/>
      <c r="R607" s="19"/>
      <c r="S607" s="19"/>
      <c r="T607" s="19"/>
      <c r="U607" s="19"/>
      <c r="V607" s="19"/>
    </row>
    <row r="608" spans="3:22" ht="15">
      <c r="C608" s="118"/>
      <c r="D608" s="25"/>
      <c r="E608" s="25"/>
      <c r="F608" s="25"/>
      <c r="G608" s="104"/>
      <c r="H608" s="25"/>
      <c r="I608" s="25"/>
      <c r="J608" s="25"/>
      <c r="L608" s="25"/>
      <c r="O608" s="104"/>
      <c r="P608" s="19"/>
      <c r="Q608" s="19"/>
      <c r="R608" s="19"/>
      <c r="S608" s="19"/>
      <c r="T608" s="19"/>
      <c r="U608" s="19"/>
      <c r="V608" s="19"/>
    </row>
    <row r="609" spans="3:22" ht="15">
      <c r="C609" s="118"/>
      <c r="D609" s="25"/>
      <c r="E609" s="25"/>
      <c r="F609" s="25"/>
      <c r="G609" s="104"/>
      <c r="H609" s="25"/>
      <c r="I609" s="25"/>
      <c r="J609" s="25"/>
      <c r="L609" s="25"/>
      <c r="O609" s="104"/>
      <c r="P609" s="19"/>
      <c r="Q609" s="19"/>
      <c r="R609" s="19"/>
      <c r="S609" s="19"/>
      <c r="T609" s="19"/>
      <c r="U609" s="19"/>
      <c r="V609" s="19"/>
    </row>
    <row r="610" spans="3:22" ht="15">
      <c r="C610" s="118"/>
      <c r="D610" s="25"/>
      <c r="E610" s="25"/>
      <c r="F610" s="25"/>
      <c r="G610" s="104"/>
      <c r="H610" s="25"/>
      <c r="I610" s="25"/>
      <c r="J610" s="25"/>
      <c r="L610" s="25"/>
      <c r="O610" s="104"/>
      <c r="P610" s="19"/>
      <c r="Q610" s="19"/>
      <c r="R610" s="19"/>
      <c r="S610" s="19"/>
      <c r="T610" s="19"/>
      <c r="U610" s="19"/>
      <c r="V610" s="19"/>
    </row>
    <row r="611" spans="3:22" ht="15">
      <c r="C611" s="118"/>
      <c r="D611" s="25"/>
      <c r="E611" s="25"/>
      <c r="F611" s="25"/>
      <c r="G611" s="104"/>
      <c r="H611" s="25"/>
      <c r="I611" s="25"/>
      <c r="J611" s="25"/>
      <c r="L611" s="25"/>
      <c r="O611" s="104"/>
      <c r="P611" s="19"/>
      <c r="Q611" s="19"/>
      <c r="R611" s="19"/>
      <c r="S611" s="19"/>
      <c r="T611" s="19"/>
      <c r="U611" s="19"/>
      <c r="V611" s="19"/>
    </row>
    <row r="612" spans="3:22" ht="15">
      <c r="C612" s="118"/>
      <c r="D612" s="25"/>
      <c r="E612" s="25"/>
      <c r="F612" s="25"/>
      <c r="G612" s="104"/>
      <c r="H612" s="25"/>
      <c r="I612" s="25"/>
      <c r="J612" s="25"/>
      <c r="L612" s="25"/>
      <c r="O612" s="104"/>
      <c r="P612" s="19"/>
      <c r="Q612" s="19"/>
      <c r="R612" s="19"/>
      <c r="S612" s="19"/>
      <c r="T612" s="19"/>
      <c r="U612" s="19"/>
      <c r="V612" s="19"/>
    </row>
    <row r="613" spans="3:22" ht="15">
      <c r="C613" s="118"/>
      <c r="D613" s="25"/>
      <c r="E613" s="25"/>
      <c r="F613" s="25"/>
      <c r="G613" s="104"/>
      <c r="H613" s="25"/>
      <c r="I613" s="25"/>
      <c r="J613" s="25"/>
      <c r="L613" s="25"/>
      <c r="O613" s="104"/>
      <c r="P613" s="19"/>
      <c r="Q613" s="19"/>
      <c r="R613" s="19"/>
      <c r="S613" s="19"/>
      <c r="T613" s="19"/>
      <c r="U613" s="19"/>
      <c r="V613" s="19"/>
    </row>
    <row r="614" spans="3:22" ht="15">
      <c r="C614" s="118"/>
      <c r="D614" s="25"/>
      <c r="E614" s="25"/>
      <c r="F614" s="25"/>
      <c r="G614" s="104"/>
      <c r="H614" s="25"/>
      <c r="I614" s="25"/>
      <c r="J614" s="25"/>
      <c r="L614" s="25"/>
      <c r="O614" s="104"/>
      <c r="P614" s="19"/>
      <c r="Q614" s="19"/>
      <c r="R614" s="19"/>
      <c r="S614" s="19"/>
      <c r="T614" s="19"/>
      <c r="U614" s="19"/>
      <c r="V614" s="19"/>
    </row>
    <row r="615" spans="3:22" ht="15">
      <c r="C615" s="118"/>
      <c r="D615" s="25"/>
      <c r="E615" s="25"/>
      <c r="F615" s="25"/>
      <c r="G615" s="104"/>
      <c r="H615" s="25"/>
      <c r="I615" s="25"/>
      <c r="J615" s="25"/>
      <c r="L615" s="25"/>
      <c r="O615" s="104"/>
      <c r="P615" s="19"/>
      <c r="Q615" s="19"/>
      <c r="R615" s="19"/>
      <c r="S615" s="19"/>
      <c r="T615" s="19"/>
      <c r="U615" s="19"/>
      <c r="V615" s="19"/>
    </row>
    <row r="616" spans="3:22" ht="15">
      <c r="C616" s="118"/>
      <c r="D616" s="25"/>
      <c r="E616" s="25"/>
      <c r="F616" s="25"/>
      <c r="G616" s="104"/>
      <c r="H616" s="25"/>
      <c r="I616" s="25"/>
      <c r="J616" s="25"/>
      <c r="L616" s="25"/>
      <c r="O616" s="104"/>
      <c r="P616" s="19"/>
      <c r="Q616" s="19"/>
      <c r="R616" s="19"/>
      <c r="S616" s="19"/>
      <c r="T616" s="19"/>
      <c r="U616" s="19"/>
      <c r="V616" s="19"/>
    </row>
    <row r="617" spans="3:22" ht="15">
      <c r="C617" s="118"/>
      <c r="D617" s="25"/>
      <c r="E617" s="25"/>
      <c r="F617" s="25"/>
      <c r="G617" s="104"/>
      <c r="H617" s="25"/>
      <c r="I617" s="25"/>
      <c r="J617" s="25"/>
      <c r="L617" s="25"/>
      <c r="O617" s="104"/>
      <c r="P617" s="19"/>
      <c r="Q617" s="19"/>
      <c r="R617" s="19"/>
      <c r="S617" s="19"/>
      <c r="T617" s="19"/>
      <c r="U617" s="19"/>
      <c r="V617" s="19"/>
    </row>
    <row r="618" spans="3:22" ht="15">
      <c r="C618" s="118"/>
      <c r="D618" s="25"/>
      <c r="E618" s="25"/>
      <c r="F618" s="25"/>
      <c r="G618" s="104"/>
      <c r="H618" s="25"/>
      <c r="I618" s="25"/>
      <c r="J618" s="25"/>
      <c r="L618" s="25"/>
      <c r="O618" s="104"/>
      <c r="P618" s="19"/>
      <c r="Q618" s="19"/>
      <c r="R618" s="19"/>
      <c r="S618" s="19"/>
      <c r="T618" s="19"/>
      <c r="U618" s="19"/>
      <c r="V618" s="19"/>
    </row>
    <row r="619" spans="3:22" ht="15">
      <c r="C619" s="118"/>
      <c r="D619" s="25"/>
      <c r="E619" s="25"/>
      <c r="F619" s="25"/>
      <c r="G619" s="104"/>
      <c r="H619" s="25"/>
      <c r="I619" s="25"/>
      <c r="J619" s="25"/>
      <c r="L619" s="25"/>
      <c r="O619" s="104"/>
      <c r="P619" s="19"/>
      <c r="Q619" s="19"/>
      <c r="R619" s="19"/>
      <c r="S619" s="19"/>
      <c r="T619" s="19"/>
      <c r="U619" s="19"/>
      <c r="V619" s="19"/>
    </row>
    <row r="620" spans="3:22" ht="15">
      <c r="C620" s="118"/>
      <c r="D620" s="25"/>
      <c r="E620" s="25"/>
      <c r="F620" s="25"/>
      <c r="G620" s="104"/>
      <c r="H620" s="25"/>
      <c r="I620" s="25"/>
      <c r="J620" s="25"/>
      <c r="L620" s="25"/>
      <c r="O620" s="104"/>
      <c r="P620" s="19"/>
      <c r="Q620" s="19"/>
      <c r="R620" s="19"/>
      <c r="S620" s="19"/>
      <c r="T620" s="19"/>
      <c r="U620" s="19"/>
      <c r="V620" s="19"/>
    </row>
    <row r="621" spans="3:22" ht="15">
      <c r="C621" s="118"/>
      <c r="D621" s="25"/>
      <c r="E621" s="25"/>
      <c r="F621" s="25"/>
      <c r="G621" s="104"/>
      <c r="H621" s="25"/>
      <c r="I621" s="25"/>
      <c r="J621" s="25"/>
      <c r="L621" s="25"/>
      <c r="O621" s="104"/>
      <c r="P621" s="19"/>
      <c r="Q621" s="19"/>
      <c r="R621" s="19"/>
      <c r="S621" s="19"/>
      <c r="T621" s="19"/>
      <c r="U621" s="19"/>
      <c r="V621" s="19"/>
    </row>
    <row r="622" spans="3:22" ht="15">
      <c r="C622" s="118"/>
      <c r="D622" s="25"/>
      <c r="E622" s="25"/>
      <c r="F622" s="25"/>
      <c r="G622" s="104"/>
      <c r="H622" s="25"/>
      <c r="I622" s="25"/>
      <c r="J622" s="25"/>
      <c r="L622" s="25"/>
      <c r="O622" s="104"/>
      <c r="P622" s="19"/>
      <c r="Q622" s="19"/>
      <c r="R622" s="19"/>
      <c r="S622" s="19"/>
      <c r="T622" s="19"/>
      <c r="U622" s="19"/>
      <c r="V622" s="19"/>
    </row>
    <row r="623" spans="3:22" ht="15">
      <c r="C623" s="118"/>
      <c r="D623" s="25"/>
      <c r="E623" s="25"/>
      <c r="F623" s="25"/>
      <c r="G623" s="104"/>
      <c r="H623" s="25"/>
      <c r="I623" s="25"/>
      <c r="J623" s="25"/>
      <c r="L623" s="25"/>
      <c r="O623" s="104"/>
      <c r="P623" s="19"/>
      <c r="Q623" s="19"/>
      <c r="R623" s="19"/>
      <c r="S623" s="19"/>
      <c r="T623" s="19"/>
      <c r="U623" s="19"/>
      <c r="V623" s="19"/>
    </row>
    <row r="624" spans="3:22" ht="15">
      <c r="C624" s="118"/>
      <c r="D624" s="25"/>
      <c r="E624" s="25"/>
      <c r="F624" s="25"/>
      <c r="G624" s="104"/>
      <c r="H624" s="25"/>
      <c r="I624" s="25"/>
      <c r="J624" s="25"/>
      <c r="L624" s="25"/>
      <c r="O624" s="104"/>
      <c r="P624" s="19"/>
      <c r="Q624" s="19"/>
      <c r="R624" s="19"/>
      <c r="S624" s="19"/>
      <c r="T624" s="19"/>
      <c r="U624" s="19"/>
      <c r="V624" s="19"/>
    </row>
    <row r="625" spans="3:22" ht="15">
      <c r="C625" s="118"/>
      <c r="D625" s="25"/>
      <c r="E625" s="25"/>
      <c r="F625" s="25"/>
      <c r="G625" s="104"/>
      <c r="H625" s="25"/>
      <c r="I625" s="25"/>
      <c r="J625" s="25"/>
      <c r="L625" s="25"/>
      <c r="O625" s="104"/>
      <c r="P625" s="19"/>
      <c r="Q625" s="19"/>
      <c r="R625" s="19"/>
      <c r="S625" s="19"/>
      <c r="T625" s="19"/>
      <c r="U625" s="19"/>
      <c r="V625" s="19"/>
    </row>
    <row r="626" spans="3:22" ht="15">
      <c r="C626" s="118"/>
      <c r="D626" s="25"/>
      <c r="E626" s="25"/>
      <c r="F626" s="25"/>
      <c r="G626" s="104"/>
      <c r="H626" s="25"/>
      <c r="I626" s="25"/>
      <c r="J626" s="25"/>
      <c r="L626" s="25"/>
      <c r="O626" s="104"/>
      <c r="P626" s="19"/>
      <c r="Q626" s="19"/>
      <c r="R626" s="19"/>
      <c r="S626" s="19"/>
      <c r="T626" s="19"/>
      <c r="U626" s="19"/>
      <c r="V626" s="19"/>
    </row>
    <row r="627" spans="3:22" ht="15">
      <c r="C627" s="118"/>
      <c r="D627" s="25"/>
      <c r="E627" s="25"/>
      <c r="F627" s="25"/>
      <c r="G627" s="104"/>
      <c r="H627" s="25"/>
      <c r="I627" s="25"/>
      <c r="J627" s="25"/>
      <c r="L627" s="25"/>
      <c r="O627" s="104"/>
      <c r="P627" s="19"/>
      <c r="Q627" s="19"/>
      <c r="R627" s="19"/>
      <c r="S627" s="19"/>
      <c r="T627" s="19"/>
      <c r="U627" s="19"/>
      <c r="V627" s="19"/>
    </row>
    <row r="628" spans="3:22" ht="15">
      <c r="C628" s="118"/>
      <c r="D628" s="25"/>
      <c r="E628" s="25"/>
      <c r="F628" s="25"/>
      <c r="G628" s="104"/>
      <c r="H628" s="25"/>
      <c r="I628" s="25"/>
      <c r="J628" s="25"/>
      <c r="L628" s="25"/>
      <c r="O628" s="104"/>
      <c r="P628" s="19"/>
      <c r="Q628" s="19"/>
      <c r="R628" s="19"/>
      <c r="S628" s="19"/>
      <c r="T628" s="19"/>
      <c r="U628" s="19"/>
      <c r="V628" s="19"/>
    </row>
    <row r="629" spans="3:22" ht="15">
      <c r="C629" s="118"/>
      <c r="D629" s="25"/>
      <c r="E629" s="25"/>
      <c r="F629" s="25"/>
      <c r="G629" s="104"/>
      <c r="H629" s="25"/>
      <c r="I629" s="25"/>
      <c r="J629" s="25"/>
      <c r="L629" s="25"/>
      <c r="O629" s="104"/>
      <c r="P629" s="19"/>
      <c r="Q629" s="19"/>
      <c r="R629" s="19"/>
      <c r="S629" s="19"/>
      <c r="T629" s="19"/>
      <c r="U629" s="19"/>
      <c r="V629" s="19"/>
    </row>
    <row r="630" spans="3:22" ht="15">
      <c r="C630" s="118"/>
      <c r="D630" s="25"/>
      <c r="E630" s="25"/>
      <c r="F630" s="25"/>
      <c r="G630" s="104"/>
      <c r="H630" s="25"/>
      <c r="I630" s="25"/>
      <c r="J630" s="25"/>
      <c r="L630" s="25"/>
      <c r="O630" s="104"/>
      <c r="P630" s="19"/>
      <c r="Q630" s="19"/>
      <c r="R630" s="19"/>
      <c r="S630" s="19"/>
      <c r="T630" s="19"/>
      <c r="U630" s="19"/>
      <c r="V630" s="19"/>
    </row>
    <row r="631" spans="3:22" ht="15">
      <c r="C631" s="118"/>
      <c r="D631" s="25"/>
      <c r="E631" s="25"/>
      <c r="F631" s="25"/>
      <c r="G631" s="104"/>
      <c r="H631" s="25"/>
      <c r="I631" s="25"/>
      <c r="J631" s="25"/>
      <c r="L631" s="25"/>
      <c r="O631" s="104"/>
      <c r="P631" s="19"/>
      <c r="Q631" s="19"/>
      <c r="R631" s="19"/>
      <c r="S631" s="19"/>
      <c r="T631" s="19"/>
      <c r="U631" s="19"/>
      <c r="V631" s="19"/>
    </row>
    <row r="632" spans="3:22" ht="15">
      <c r="C632" s="118"/>
      <c r="D632" s="25"/>
      <c r="E632" s="25"/>
      <c r="F632" s="25"/>
      <c r="G632" s="104"/>
      <c r="H632" s="25"/>
      <c r="I632" s="25"/>
      <c r="J632" s="25"/>
      <c r="L632" s="25"/>
      <c r="O632" s="104"/>
      <c r="P632" s="19"/>
      <c r="Q632" s="19"/>
      <c r="R632" s="19"/>
      <c r="S632" s="19"/>
      <c r="T632" s="19"/>
      <c r="U632" s="19"/>
      <c r="V632" s="19"/>
    </row>
    <row r="633" spans="3:22" ht="15">
      <c r="C633" s="118"/>
      <c r="D633" s="25"/>
      <c r="E633" s="25"/>
      <c r="F633" s="25"/>
      <c r="G633" s="104"/>
      <c r="H633" s="25"/>
      <c r="I633" s="25"/>
      <c r="J633" s="25"/>
      <c r="L633" s="25"/>
      <c r="O633" s="104"/>
      <c r="P633" s="19"/>
      <c r="Q633" s="19"/>
      <c r="R633" s="19"/>
      <c r="S633" s="19"/>
      <c r="T633" s="19"/>
      <c r="U633" s="19"/>
      <c r="V633" s="19"/>
    </row>
    <row r="634" spans="3:22" ht="15">
      <c r="C634" s="118"/>
      <c r="D634" s="25"/>
      <c r="E634" s="25"/>
      <c r="F634" s="25"/>
      <c r="G634" s="104"/>
      <c r="H634" s="25"/>
      <c r="I634" s="25"/>
      <c r="J634" s="25"/>
      <c r="L634" s="25"/>
      <c r="O634" s="104"/>
      <c r="P634" s="19"/>
      <c r="Q634" s="19"/>
      <c r="R634" s="19"/>
      <c r="S634" s="19"/>
      <c r="T634" s="19"/>
      <c r="U634" s="19"/>
      <c r="V634" s="19"/>
    </row>
    <row r="635" spans="3:22" ht="15">
      <c r="C635" s="118"/>
      <c r="D635" s="25"/>
      <c r="E635" s="25"/>
      <c r="F635" s="25"/>
      <c r="G635" s="104"/>
      <c r="H635" s="25"/>
      <c r="I635" s="25"/>
      <c r="J635" s="25"/>
      <c r="L635" s="25"/>
      <c r="O635" s="104"/>
      <c r="P635" s="19"/>
      <c r="Q635" s="19"/>
      <c r="R635" s="19"/>
      <c r="S635" s="19"/>
      <c r="T635" s="19"/>
      <c r="U635" s="19"/>
      <c r="V635" s="19"/>
    </row>
    <row r="636" spans="3:22" ht="15">
      <c r="C636" s="118"/>
      <c r="D636" s="25"/>
      <c r="E636" s="25"/>
      <c r="F636" s="25"/>
      <c r="G636" s="104"/>
      <c r="H636" s="25"/>
      <c r="I636" s="25"/>
      <c r="J636" s="25"/>
      <c r="L636" s="25"/>
      <c r="O636" s="104"/>
      <c r="P636" s="19"/>
      <c r="Q636" s="19"/>
      <c r="R636" s="19"/>
      <c r="S636" s="19"/>
      <c r="T636" s="19"/>
      <c r="U636" s="19"/>
      <c r="V636" s="19"/>
    </row>
    <row r="637" spans="3:22" ht="15">
      <c r="C637" s="118"/>
      <c r="D637" s="25"/>
      <c r="E637" s="25"/>
      <c r="F637" s="25"/>
      <c r="G637" s="104"/>
      <c r="H637" s="25"/>
      <c r="I637" s="25"/>
      <c r="J637" s="25"/>
      <c r="L637" s="25"/>
      <c r="O637" s="104"/>
      <c r="P637" s="19"/>
      <c r="Q637" s="19"/>
      <c r="R637" s="19"/>
      <c r="S637" s="19"/>
      <c r="T637" s="19"/>
      <c r="U637" s="19"/>
      <c r="V637" s="19"/>
    </row>
    <row r="638" spans="3:22" ht="15">
      <c r="C638" s="118"/>
      <c r="D638" s="25"/>
      <c r="E638" s="25"/>
      <c r="F638" s="25"/>
      <c r="G638" s="104"/>
      <c r="H638" s="25"/>
      <c r="I638" s="25"/>
      <c r="J638" s="25"/>
      <c r="L638" s="25"/>
      <c r="O638" s="104"/>
      <c r="P638" s="19"/>
      <c r="Q638" s="19"/>
      <c r="R638" s="19"/>
      <c r="S638" s="19"/>
      <c r="T638" s="19"/>
      <c r="U638" s="19"/>
      <c r="V638" s="19"/>
    </row>
    <row r="639" spans="3:22" ht="15">
      <c r="C639" s="118"/>
      <c r="D639" s="25"/>
      <c r="E639" s="25"/>
      <c r="F639" s="25"/>
      <c r="G639" s="104"/>
      <c r="H639" s="25"/>
      <c r="I639" s="25"/>
      <c r="J639" s="25"/>
      <c r="L639" s="25"/>
      <c r="O639" s="104"/>
      <c r="P639" s="19"/>
      <c r="Q639" s="19"/>
      <c r="R639" s="19"/>
      <c r="S639" s="19"/>
      <c r="T639" s="19"/>
      <c r="U639" s="19"/>
      <c r="V639" s="19"/>
    </row>
    <row r="640" spans="3:22" ht="15">
      <c r="C640" s="118"/>
      <c r="D640" s="25"/>
      <c r="E640" s="25"/>
      <c r="F640" s="25"/>
      <c r="G640" s="104"/>
      <c r="H640" s="25"/>
      <c r="I640" s="25"/>
      <c r="J640" s="25"/>
      <c r="L640" s="25"/>
      <c r="O640" s="104"/>
      <c r="P640" s="19"/>
      <c r="Q640" s="19"/>
      <c r="R640" s="19"/>
      <c r="S640" s="19"/>
      <c r="T640" s="19"/>
      <c r="U640" s="19"/>
      <c r="V640" s="19"/>
    </row>
    <row r="641" spans="3:22" ht="15">
      <c r="C641" s="118"/>
      <c r="D641" s="25"/>
      <c r="E641" s="25"/>
      <c r="F641" s="25"/>
      <c r="G641" s="104"/>
      <c r="H641" s="25"/>
      <c r="I641" s="25"/>
      <c r="J641" s="25"/>
      <c r="L641" s="25"/>
      <c r="O641" s="104"/>
      <c r="P641" s="19"/>
      <c r="Q641" s="19"/>
      <c r="R641" s="19"/>
      <c r="S641" s="19"/>
      <c r="T641" s="19"/>
      <c r="U641" s="19"/>
      <c r="V641" s="19"/>
    </row>
    <row r="642" spans="3:22" ht="15">
      <c r="C642" s="118"/>
      <c r="D642" s="25"/>
      <c r="E642" s="25"/>
      <c r="F642" s="25"/>
      <c r="G642" s="104"/>
      <c r="H642" s="25"/>
      <c r="I642" s="25"/>
      <c r="J642" s="25"/>
      <c r="L642" s="25"/>
      <c r="O642" s="104"/>
      <c r="P642" s="19"/>
      <c r="Q642" s="19"/>
      <c r="R642" s="19"/>
      <c r="S642" s="19"/>
      <c r="T642" s="19"/>
      <c r="U642" s="19"/>
      <c r="V642" s="19"/>
    </row>
    <row r="643" spans="3:22" ht="15">
      <c r="C643" s="118"/>
      <c r="D643" s="25"/>
      <c r="E643" s="25"/>
      <c r="F643" s="25"/>
      <c r="G643" s="104"/>
      <c r="H643" s="25"/>
      <c r="I643" s="25"/>
      <c r="J643" s="25"/>
      <c r="L643" s="25"/>
      <c r="O643" s="104"/>
      <c r="P643" s="19"/>
      <c r="Q643" s="19"/>
      <c r="R643" s="19"/>
      <c r="S643" s="19"/>
      <c r="T643" s="19"/>
      <c r="U643" s="19"/>
      <c r="V643" s="19"/>
    </row>
    <row r="644" spans="3:22" ht="15">
      <c r="C644" s="118"/>
      <c r="D644" s="25"/>
      <c r="E644" s="25"/>
      <c r="F644" s="25"/>
      <c r="G644" s="104"/>
      <c r="H644" s="25"/>
      <c r="I644" s="25"/>
      <c r="J644" s="25"/>
      <c r="L644" s="25"/>
      <c r="O644" s="104"/>
      <c r="P644" s="19"/>
      <c r="Q644" s="19"/>
      <c r="R644" s="19"/>
      <c r="S644" s="19"/>
      <c r="T644" s="19"/>
      <c r="U644" s="19"/>
      <c r="V644" s="19"/>
    </row>
    <row r="645" spans="3:22" ht="15">
      <c r="C645" s="118"/>
      <c r="D645" s="25"/>
      <c r="E645" s="25"/>
      <c r="F645" s="25"/>
      <c r="G645" s="104"/>
      <c r="H645" s="25"/>
      <c r="I645" s="25"/>
      <c r="J645" s="25"/>
      <c r="L645" s="25"/>
      <c r="O645" s="104"/>
      <c r="P645" s="19"/>
      <c r="Q645" s="19"/>
      <c r="R645" s="19"/>
      <c r="S645" s="19"/>
      <c r="T645" s="19"/>
      <c r="U645" s="19"/>
      <c r="V645" s="19"/>
    </row>
    <row r="646" spans="3:22" ht="15">
      <c r="C646" s="118"/>
      <c r="D646" s="25"/>
      <c r="E646" s="25"/>
      <c r="F646" s="25"/>
      <c r="G646" s="104"/>
      <c r="H646" s="25"/>
      <c r="I646" s="25"/>
      <c r="J646" s="25"/>
      <c r="L646" s="25"/>
      <c r="O646" s="104"/>
      <c r="P646" s="19"/>
      <c r="Q646" s="19"/>
      <c r="R646" s="19"/>
      <c r="S646" s="19"/>
      <c r="T646" s="19"/>
      <c r="U646" s="19"/>
      <c r="V646" s="19"/>
    </row>
    <row r="647" spans="3:22" ht="15">
      <c r="C647" s="118"/>
      <c r="D647" s="25"/>
      <c r="E647" s="25"/>
      <c r="F647" s="25"/>
      <c r="G647" s="104"/>
      <c r="H647" s="25"/>
      <c r="I647" s="25"/>
      <c r="J647" s="25"/>
      <c r="L647" s="25"/>
      <c r="O647" s="104"/>
      <c r="P647" s="19"/>
      <c r="Q647" s="19"/>
      <c r="R647" s="19"/>
      <c r="S647" s="19"/>
      <c r="T647" s="19"/>
      <c r="U647" s="19"/>
      <c r="V647" s="19"/>
    </row>
    <row r="648" spans="3:22" ht="15">
      <c r="C648" s="118"/>
      <c r="D648" s="25"/>
      <c r="E648" s="25"/>
      <c r="F648" s="25"/>
      <c r="G648" s="104"/>
      <c r="H648" s="25"/>
      <c r="I648" s="25"/>
      <c r="J648" s="25"/>
      <c r="L648" s="25"/>
      <c r="O648" s="104"/>
      <c r="P648" s="19"/>
      <c r="Q648" s="19"/>
      <c r="R648" s="19"/>
      <c r="S648" s="19"/>
      <c r="T648" s="19"/>
      <c r="U648" s="19"/>
      <c r="V648" s="19"/>
    </row>
    <row r="649" spans="3:22" ht="15">
      <c r="C649" s="118"/>
      <c r="D649" s="25"/>
      <c r="E649" s="25"/>
      <c r="F649" s="25"/>
      <c r="G649" s="104"/>
      <c r="H649" s="25"/>
      <c r="I649" s="25"/>
      <c r="J649" s="25"/>
      <c r="L649" s="25"/>
      <c r="O649" s="104"/>
      <c r="P649" s="19"/>
      <c r="Q649" s="19"/>
      <c r="R649" s="19"/>
      <c r="S649" s="19"/>
      <c r="T649" s="19"/>
      <c r="U649" s="19"/>
      <c r="V649" s="19"/>
    </row>
    <row r="650" spans="3:22" ht="15">
      <c r="C650" s="118"/>
      <c r="D650" s="25"/>
      <c r="E650" s="25"/>
      <c r="F650" s="25"/>
      <c r="G650" s="104"/>
      <c r="H650" s="25"/>
      <c r="I650" s="25"/>
      <c r="J650" s="25"/>
      <c r="L650" s="25"/>
      <c r="O650" s="104"/>
      <c r="P650" s="19"/>
      <c r="Q650" s="19"/>
      <c r="R650" s="19"/>
      <c r="S650" s="19"/>
      <c r="T650" s="19"/>
      <c r="U650" s="19"/>
      <c r="V650" s="19"/>
    </row>
    <row r="651" spans="3:22" ht="15">
      <c r="C651" s="118"/>
      <c r="D651" s="25"/>
      <c r="E651" s="25"/>
      <c r="F651" s="25"/>
      <c r="G651" s="104"/>
      <c r="H651" s="25"/>
      <c r="I651" s="25"/>
      <c r="J651" s="25"/>
      <c r="L651" s="25"/>
      <c r="O651" s="104"/>
      <c r="P651" s="19"/>
      <c r="Q651" s="19"/>
      <c r="R651" s="19"/>
      <c r="S651" s="19"/>
      <c r="T651" s="19"/>
      <c r="U651" s="19"/>
      <c r="V651" s="19"/>
    </row>
    <row r="652" spans="3:22" ht="15">
      <c r="C652" s="118"/>
      <c r="D652" s="25"/>
      <c r="E652" s="25"/>
      <c r="F652" s="25"/>
      <c r="G652" s="104"/>
      <c r="H652" s="25"/>
      <c r="I652" s="25"/>
      <c r="J652" s="25"/>
      <c r="L652" s="25"/>
      <c r="O652" s="104"/>
      <c r="P652" s="19"/>
      <c r="Q652" s="19"/>
      <c r="R652" s="19"/>
      <c r="S652" s="19"/>
      <c r="T652" s="19"/>
      <c r="U652" s="19"/>
      <c r="V652" s="19"/>
    </row>
    <row r="653" spans="3:22" ht="15">
      <c r="C653" s="118"/>
      <c r="D653" s="25"/>
      <c r="E653" s="25"/>
      <c r="F653" s="25"/>
      <c r="G653" s="104"/>
      <c r="H653" s="25"/>
      <c r="I653" s="25"/>
      <c r="J653" s="25"/>
      <c r="L653" s="25"/>
      <c r="O653" s="104"/>
      <c r="P653" s="19"/>
      <c r="Q653" s="19"/>
      <c r="R653" s="19"/>
      <c r="S653" s="19"/>
      <c r="T653" s="19"/>
      <c r="U653" s="19"/>
      <c r="V653" s="19"/>
    </row>
    <row r="654" spans="3:22" ht="15">
      <c r="C654" s="118"/>
      <c r="D654" s="25"/>
      <c r="E654" s="25"/>
      <c r="F654" s="25"/>
      <c r="G654" s="104"/>
      <c r="H654" s="25"/>
      <c r="I654" s="25"/>
      <c r="J654" s="25"/>
      <c r="L654" s="25"/>
      <c r="O654" s="104"/>
      <c r="P654" s="19"/>
      <c r="Q654" s="19"/>
      <c r="R654" s="19"/>
      <c r="S654" s="19"/>
      <c r="T654" s="19"/>
      <c r="U654" s="19"/>
      <c r="V654" s="19"/>
    </row>
    <row r="655" spans="3:22" ht="15">
      <c r="C655" s="118"/>
      <c r="D655" s="25"/>
      <c r="E655" s="25"/>
      <c r="F655" s="25"/>
      <c r="G655" s="104"/>
      <c r="H655" s="25"/>
      <c r="I655" s="25"/>
      <c r="J655" s="25"/>
      <c r="L655" s="25"/>
      <c r="O655" s="104"/>
      <c r="P655" s="19"/>
      <c r="Q655" s="19"/>
      <c r="R655" s="19"/>
      <c r="S655" s="19"/>
      <c r="T655" s="19"/>
      <c r="U655" s="19"/>
      <c r="V655" s="19"/>
    </row>
    <row r="656" spans="3:22" ht="15">
      <c r="C656" s="118"/>
      <c r="D656" s="25"/>
      <c r="E656" s="25"/>
      <c r="F656" s="25"/>
      <c r="G656" s="104"/>
      <c r="H656" s="25"/>
      <c r="I656" s="25"/>
      <c r="J656" s="25"/>
      <c r="L656" s="25"/>
      <c r="O656" s="104"/>
      <c r="P656" s="19"/>
      <c r="Q656" s="19"/>
      <c r="R656" s="19"/>
      <c r="S656" s="19"/>
      <c r="T656" s="19"/>
      <c r="U656" s="19"/>
      <c r="V656" s="19"/>
    </row>
    <row r="657" spans="3:22" ht="15">
      <c r="C657" s="118"/>
      <c r="D657" s="25"/>
      <c r="E657" s="25"/>
      <c r="F657" s="25"/>
      <c r="G657" s="104"/>
      <c r="H657" s="25"/>
      <c r="I657" s="25"/>
      <c r="J657" s="25"/>
      <c r="L657" s="25"/>
      <c r="O657" s="104"/>
      <c r="P657" s="19"/>
      <c r="Q657" s="19"/>
      <c r="R657" s="19"/>
      <c r="S657" s="19"/>
      <c r="T657" s="19"/>
      <c r="U657" s="19"/>
      <c r="V657" s="19"/>
    </row>
    <row r="658" spans="3:22" ht="15">
      <c r="C658" s="118"/>
      <c r="D658" s="25"/>
      <c r="E658" s="25"/>
      <c r="F658" s="25"/>
      <c r="G658" s="104"/>
      <c r="H658" s="25"/>
      <c r="I658" s="25"/>
      <c r="J658" s="25"/>
      <c r="L658" s="25"/>
      <c r="O658" s="104"/>
      <c r="P658" s="19"/>
      <c r="Q658" s="19"/>
      <c r="R658" s="19"/>
      <c r="S658" s="19"/>
      <c r="T658" s="19"/>
      <c r="U658" s="19"/>
      <c r="V658" s="19"/>
    </row>
    <row r="659" spans="3:22" ht="15">
      <c r="C659" s="118"/>
      <c r="D659" s="25"/>
      <c r="E659" s="25"/>
      <c r="F659" s="25"/>
      <c r="G659" s="104"/>
      <c r="H659" s="25"/>
      <c r="I659" s="25"/>
      <c r="J659" s="25"/>
      <c r="L659" s="25"/>
      <c r="O659" s="104"/>
      <c r="P659" s="19"/>
      <c r="Q659" s="19"/>
      <c r="R659" s="19"/>
      <c r="S659" s="19"/>
      <c r="T659" s="19"/>
      <c r="U659" s="19"/>
      <c r="V659" s="19"/>
    </row>
    <row r="660" spans="3:22" ht="15">
      <c r="C660" s="118"/>
      <c r="D660" s="25"/>
      <c r="E660" s="25"/>
      <c r="F660" s="25"/>
      <c r="G660" s="104"/>
      <c r="H660" s="25"/>
      <c r="I660" s="25"/>
      <c r="J660" s="25"/>
      <c r="L660" s="25"/>
      <c r="O660" s="104"/>
      <c r="P660" s="19"/>
      <c r="Q660" s="19"/>
      <c r="R660" s="19"/>
      <c r="S660" s="19"/>
      <c r="T660" s="19"/>
      <c r="U660" s="19"/>
      <c r="V660" s="19"/>
    </row>
    <row r="661" spans="3:22" ht="15">
      <c r="C661" s="118"/>
      <c r="D661" s="25"/>
      <c r="E661" s="25"/>
      <c r="F661" s="25"/>
      <c r="G661" s="104"/>
      <c r="H661" s="25"/>
      <c r="I661" s="25"/>
      <c r="J661" s="25"/>
      <c r="L661" s="25"/>
      <c r="O661" s="104"/>
      <c r="P661" s="19"/>
      <c r="Q661" s="19"/>
      <c r="R661" s="19"/>
      <c r="S661" s="19"/>
      <c r="T661" s="19"/>
      <c r="U661" s="19"/>
      <c r="V661" s="19"/>
    </row>
    <row r="662" spans="3:22" ht="15">
      <c r="C662" s="118"/>
      <c r="D662" s="25"/>
      <c r="E662" s="25"/>
      <c r="F662" s="25"/>
      <c r="G662" s="104"/>
      <c r="H662" s="25"/>
      <c r="I662" s="25"/>
      <c r="J662" s="25"/>
      <c r="L662" s="25"/>
      <c r="O662" s="104"/>
      <c r="P662" s="19"/>
      <c r="Q662" s="19"/>
      <c r="R662" s="19"/>
      <c r="S662" s="19"/>
      <c r="T662" s="19"/>
      <c r="U662" s="19"/>
      <c r="V662" s="19"/>
    </row>
    <row r="663" spans="3:22" ht="15">
      <c r="C663" s="118"/>
      <c r="D663" s="25"/>
      <c r="E663" s="25"/>
      <c r="F663" s="25"/>
      <c r="G663" s="104"/>
      <c r="H663" s="25"/>
      <c r="I663" s="25"/>
      <c r="J663" s="25"/>
      <c r="L663" s="25"/>
      <c r="O663" s="104"/>
      <c r="P663" s="19"/>
      <c r="Q663" s="19"/>
      <c r="R663" s="19"/>
      <c r="S663" s="19"/>
      <c r="T663" s="19"/>
      <c r="U663" s="19"/>
      <c r="V663" s="19"/>
    </row>
    <row r="664" spans="3:22" ht="15">
      <c r="C664" s="118"/>
      <c r="D664" s="25"/>
      <c r="E664" s="25"/>
      <c r="F664" s="25"/>
      <c r="G664" s="104"/>
      <c r="H664" s="25"/>
      <c r="I664" s="25"/>
      <c r="J664" s="25"/>
      <c r="L664" s="25"/>
      <c r="O664" s="104"/>
      <c r="P664" s="19"/>
      <c r="Q664" s="19"/>
      <c r="R664" s="19"/>
      <c r="S664" s="19"/>
      <c r="T664" s="19"/>
      <c r="U664" s="19"/>
      <c r="V664" s="19"/>
    </row>
    <row r="665" spans="3:22" ht="15">
      <c r="C665" s="118"/>
      <c r="D665" s="25"/>
      <c r="E665" s="25"/>
      <c r="F665" s="25"/>
      <c r="G665" s="104"/>
      <c r="H665" s="25"/>
      <c r="I665" s="25"/>
      <c r="J665" s="25"/>
      <c r="L665" s="25"/>
      <c r="O665" s="104"/>
      <c r="P665" s="19"/>
      <c r="Q665" s="19"/>
      <c r="R665" s="19"/>
      <c r="S665" s="19"/>
      <c r="T665" s="19"/>
      <c r="U665" s="19"/>
      <c r="V665" s="19"/>
    </row>
    <row r="666" spans="3:22" ht="15">
      <c r="C666" s="118"/>
      <c r="D666" s="25"/>
      <c r="E666" s="25"/>
      <c r="F666" s="25"/>
      <c r="G666" s="104"/>
      <c r="H666" s="25"/>
      <c r="I666" s="25"/>
      <c r="J666" s="25"/>
      <c r="L666" s="25"/>
      <c r="O666" s="104"/>
      <c r="P666" s="19"/>
      <c r="Q666" s="19"/>
      <c r="R666" s="19"/>
      <c r="S666" s="19"/>
      <c r="T666" s="19"/>
      <c r="U666" s="19"/>
      <c r="V666" s="19"/>
    </row>
    <row r="667" spans="3:22" ht="15">
      <c r="C667" s="118"/>
      <c r="D667" s="25"/>
      <c r="E667" s="25"/>
      <c r="F667" s="25"/>
      <c r="G667" s="104"/>
      <c r="H667" s="25"/>
      <c r="I667" s="25"/>
      <c r="J667" s="25"/>
      <c r="L667" s="25"/>
      <c r="O667" s="104"/>
      <c r="P667" s="19"/>
      <c r="Q667" s="19"/>
      <c r="R667" s="19"/>
      <c r="S667" s="19"/>
      <c r="T667" s="19"/>
      <c r="U667" s="19"/>
      <c r="V667" s="19"/>
    </row>
    <row r="668" spans="3:22" ht="15">
      <c r="C668" s="118"/>
      <c r="D668" s="25"/>
      <c r="E668" s="25"/>
      <c r="F668" s="25"/>
      <c r="G668" s="104"/>
      <c r="H668" s="25"/>
      <c r="I668" s="25"/>
      <c r="J668" s="25"/>
      <c r="L668" s="25"/>
      <c r="O668" s="104"/>
      <c r="P668" s="19"/>
      <c r="Q668" s="19"/>
      <c r="R668" s="19"/>
      <c r="S668" s="19"/>
      <c r="T668" s="19"/>
      <c r="U668" s="19"/>
      <c r="V668" s="19"/>
    </row>
    <row r="669" spans="3:22" ht="15">
      <c r="C669" s="118"/>
      <c r="D669" s="25"/>
      <c r="E669" s="25"/>
      <c r="F669" s="25"/>
      <c r="G669" s="104"/>
      <c r="H669" s="25"/>
      <c r="I669" s="25"/>
      <c r="J669" s="25"/>
      <c r="L669" s="25"/>
      <c r="O669" s="104"/>
      <c r="P669" s="19"/>
      <c r="Q669" s="19"/>
      <c r="R669" s="19"/>
      <c r="S669" s="19"/>
      <c r="T669" s="19"/>
      <c r="U669" s="19"/>
      <c r="V669" s="19"/>
    </row>
    <row r="670" spans="3:22" ht="15">
      <c r="C670" s="118"/>
      <c r="D670" s="25"/>
      <c r="E670" s="25"/>
      <c r="F670" s="25"/>
      <c r="G670" s="104"/>
      <c r="H670" s="25"/>
      <c r="I670" s="25"/>
      <c r="J670" s="25"/>
      <c r="L670" s="25"/>
      <c r="O670" s="104"/>
      <c r="P670" s="19"/>
      <c r="Q670" s="19"/>
      <c r="R670" s="19"/>
      <c r="S670" s="19"/>
      <c r="T670" s="19"/>
      <c r="U670" s="19"/>
      <c r="V670" s="19"/>
    </row>
    <row r="671" spans="3:22" ht="15">
      <c r="C671" s="118"/>
      <c r="D671" s="25"/>
      <c r="E671" s="25"/>
      <c r="F671" s="25"/>
      <c r="G671" s="104"/>
      <c r="H671" s="25"/>
      <c r="I671" s="25"/>
      <c r="J671" s="25"/>
      <c r="L671" s="25"/>
      <c r="O671" s="104"/>
      <c r="P671" s="19"/>
      <c r="Q671" s="19"/>
      <c r="R671" s="19"/>
      <c r="S671" s="19"/>
      <c r="T671" s="19"/>
      <c r="U671" s="19"/>
      <c r="V671" s="19"/>
    </row>
    <row r="672" spans="3:22" ht="15">
      <c r="C672" s="118"/>
      <c r="D672" s="25"/>
      <c r="E672" s="25"/>
      <c r="F672" s="25"/>
      <c r="G672" s="104"/>
      <c r="H672" s="25"/>
      <c r="I672" s="25"/>
      <c r="J672" s="25"/>
      <c r="L672" s="25"/>
      <c r="O672" s="104"/>
      <c r="P672" s="19"/>
      <c r="Q672" s="19"/>
      <c r="R672" s="19"/>
      <c r="S672" s="19"/>
      <c r="T672" s="19"/>
      <c r="U672" s="19"/>
      <c r="V672" s="19"/>
    </row>
    <row r="673" spans="3:22" ht="15">
      <c r="C673" s="118"/>
      <c r="D673" s="25"/>
      <c r="E673" s="25"/>
      <c r="F673" s="25"/>
      <c r="G673" s="104"/>
      <c r="H673" s="25"/>
      <c r="I673" s="25"/>
      <c r="J673" s="25"/>
      <c r="L673" s="25"/>
      <c r="O673" s="104"/>
      <c r="P673" s="19"/>
      <c r="Q673" s="19"/>
      <c r="R673" s="19"/>
      <c r="S673" s="19"/>
      <c r="T673" s="19"/>
      <c r="U673" s="19"/>
      <c r="V673" s="19"/>
    </row>
    <row r="674" spans="3:22" ht="15">
      <c r="C674" s="118"/>
      <c r="D674" s="25"/>
      <c r="E674" s="25"/>
      <c r="F674" s="25"/>
      <c r="G674" s="104"/>
      <c r="H674" s="25"/>
      <c r="I674" s="25"/>
      <c r="J674" s="25"/>
      <c r="L674" s="25"/>
      <c r="O674" s="104"/>
      <c r="P674" s="19"/>
      <c r="Q674" s="19"/>
      <c r="R674" s="19"/>
      <c r="S674" s="19"/>
      <c r="T674" s="19"/>
      <c r="U674" s="19"/>
      <c r="V674" s="19"/>
    </row>
    <row r="675" spans="3:22" ht="15">
      <c r="C675" s="118"/>
      <c r="D675" s="25"/>
      <c r="E675" s="25"/>
      <c r="F675" s="25"/>
      <c r="G675" s="104"/>
      <c r="H675" s="25"/>
      <c r="I675" s="25"/>
      <c r="J675" s="25"/>
      <c r="L675" s="25"/>
      <c r="O675" s="104"/>
      <c r="P675" s="19"/>
      <c r="Q675" s="19"/>
      <c r="R675" s="19"/>
      <c r="S675" s="19"/>
      <c r="T675" s="19"/>
      <c r="U675" s="19"/>
      <c r="V675" s="19"/>
    </row>
    <row r="676" spans="3:22" ht="15">
      <c r="C676" s="118"/>
      <c r="D676" s="25"/>
      <c r="E676" s="25"/>
      <c r="F676" s="25"/>
      <c r="G676" s="104"/>
      <c r="H676" s="25"/>
      <c r="I676" s="25"/>
      <c r="J676" s="25"/>
      <c r="L676" s="25"/>
      <c r="O676" s="104"/>
      <c r="P676" s="19"/>
      <c r="Q676" s="19"/>
      <c r="R676" s="19"/>
      <c r="S676" s="19"/>
      <c r="T676" s="19"/>
      <c r="U676" s="19"/>
      <c r="V676" s="19"/>
    </row>
    <row r="677" spans="3:22" ht="15">
      <c r="C677" s="118"/>
      <c r="D677" s="25"/>
      <c r="E677" s="25"/>
      <c r="F677" s="25"/>
      <c r="G677" s="104"/>
      <c r="H677" s="25"/>
      <c r="I677" s="25"/>
      <c r="J677" s="25"/>
      <c r="L677" s="25"/>
      <c r="O677" s="104"/>
      <c r="P677" s="19"/>
      <c r="Q677" s="19"/>
      <c r="R677" s="19"/>
      <c r="S677" s="19"/>
      <c r="T677" s="19"/>
      <c r="U677" s="19"/>
      <c r="V677" s="19"/>
    </row>
    <row r="678" spans="3:22" ht="15">
      <c r="C678" s="118"/>
      <c r="D678" s="25"/>
      <c r="E678" s="25"/>
      <c r="F678" s="25"/>
      <c r="G678" s="104"/>
      <c r="H678" s="25"/>
      <c r="I678" s="25"/>
      <c r="J678" s="25"/>
      <c r="L678" s="25"/>
      <c r="O678" s="104"/>
      <c r="P678" s="19"/>
      <c r="Q678" s="19"/>
      <c r="R678" s="19"/>
      <c r="S678" s="19"/>
      <c r="T678" s="19"/>
      <c r="U678" s="19"/>
      <c r="V678" s="19"/>
    </row>
    <row r="679" spans="3:22" ht="15">
      <c r="C679" s="118"/>
      <c r="D679" s="25"/>
      <c r="E679" s="25"/>
      <c r="F679" s="25"/>
      <c r="G679" s="104"/>
      <c r="H679" s="25"/>
      <c r="I679" s="25"/>
      <c r="J679" s="25"/>
      <c r="L679" s="25"/>
      <c r="O679" s="104"/>
      <c r="P679" s="19"/>
      <c r="Q679" s="19"/>
      <c r="R679" s="19"/>
      <c r="S679" s="19"/>
      <c r="T679" s="19"/>
      <c r="U679" s="19"/>
      <c r="V679" s="19"/>
    </row>
    <row r="680" spans="3:22" ht="15">
      <c r="C680" s="118"/>
      <c r="D680" s="25"/>
      <c r="E680" s="25"/>
      <c r="F680" s="25"/>
      <c r="G680" s="104"/>
      <c r="H680" s="25"/>
      <c r="I680" s="25"/>
      <c r="J680" s="25"/>
      <c r="L680" s="25"/>
      <c r="O680" s="104"/>
      <c r="P680" s="19"/>
      <c r="Q680" s="19"/>
      <c r="R680" s="19"/>
      <c r="S680" s="19"/>
      <c r="T680" s="19"/>
      <c r="U680" s="19"/>
      <c r="V680" s="19"/>
    </row>
    <row r="681" spans="3:22" ht="15">
      <c r="C681" s="118"/>
      <c r="D681" s="25"/>
      <c r="E681" s="25"/>
      <c r="F681" s="25"/>
      <c r="G681" s="104"/>
      <c r="H681" s="25"/>
      <c r="I681" s="25"/>
      <c r="J681" s="25"/>
      <c r="L681" s="25"/>
      <c r="O681" s="104"/>
      <c r="P681" s="19"/>
      <c r="Q681" s="19"/>
      <c r="R681" s="19"/>
      <c r="S681" s="19"/>
      <c r="T681" s="19"/>
      <c r="U681" s="19"/>
      <c r="V681" s="19"/>
    </row>
    <row r="682" spans="3:22" ht="15">
      <c r="C682" s="118"/>
      <c r="D682" s="25"/>
      <c r="E682" s="25"/>
      <c r="F682" s="25"/>
      <c r="G682" s="104"/>
      <c r="H682" s="25"/>
      <c r="I682" s="25"/>
      <c r="J682" s="25"/>
      <c r="L682" s="25"/>
      <c r="O682" s="104"/>
      <c r="P682" s="19"/>
      <c r="Q682" s="19"/>
      <c r="R682" s="19"/>
      <c r="S682" s="19"/>
      <c r="T682" s="19"/>
      <c r="U682" s="19"/>
      <c r="V682" s="19"/>
    </row>
    <row r="683" spans="3:22" ht="15">
      <c r="C683" s="118"/>
      <c r="D683" s="25"/>
      <c r="E683" s="25"/>
      <c r="F683" s="25"/>
      <c r="G683" s="104"/>
      <c r="H683" s="25"/>
      <c r="I683" s="25"/>
      <c r="J683" s="25"/>
      <c r="L683" s="25"/>
      <c r="O683" s="104"/>
      <c r="P683" s="19"/>
      <c r="Q683" s="19"/>
      <c r="R683" s="19"/>
      <c r="S683" s="19"/>
      <c r="T683" s="19"/>
      <c r="U683" s="19"/>
      <c r="V683" s="19"/>
    </row>
    <row r="684" spans="3:22" ht="15">
      <c r="C684" s="118"/>
      <c r="D684" s="25"/>
      <c r="E684" s="25"/>
      <c r="F684" s="25"/>
      <c r="G684" s="104"/>
      <c r="H684" s="25"/>
      <c r="I684" s="25"/>
      <c r="J684" s="25"/>
      <c r="L684" s="25"/>
      <c r="O684" s="104"/>
      <c r="P684" s="19"/>
      <c r="Q684" s="19"/>
      <c r="R684" s="19"/>
      <c r="S684" s="19"/>
      <c r="T684" s="19"/>
      <c r="U684" s="19"/>
      <c r="V684" s="19"/>
    </row>
    <row r="685" spans="3:22" ht="15">
      <c r="C685" s="118"/>
      <c r="D685" s="25"/>
      <c r="E685" s="25"/>
      <c r="F685" s="25"/>
      <c r="G685" s="104"/>
      <c r="H685" s="25"/>
      <c r="I685" s="25"/>
      <c r="J685" s="25"/>
      <c r="L685" s="25"/>
      <c r="O685" s="104"/>
      <c r="P685" s="19"/>
      <c r="Q685" s="19"/>
      <c r="R685" s="19"/>
      <c r="S685" s="19"/>
      <c r="T685" s="19"/>
      <c r="U685" s="19"/>
      <c r="V685" s="19"/>
    </row>
    <row r="686" spans="3:22" ht="15">
      <c r="C686" s="118"/>
      <c r="D686" s="25"/>
      <c r="E686" s="25"/>
      <c r="F686" s="25"/>
      <c r="G686" s="104"/>
      <c r="H686" s="25"/>
      <c r="I686" s="25"/>
      <c r="J686" s="25"/>
      <c r="L686" s="25"/>
      <c r="O686" s="104"/>
      <c r="P686" s="19"/>
      <c r="Q686" s="19"/>
      <c r="R686" s="19"/>
      <c r="S686" s="19"/>
      <c r="T686" s="19"/>
      <c r="U686" s="19"/>
      <c r="V686" s="19"/>
    </row>
    <row r="687" spans="3:22" ht="15">
      <c r="C687" s="118"/>
      <c r="D687" s="25"/>
      <c r="E687" s="25"/>
      <c r="F687" s="25"/>
      <c r="G687" s="104"/>
      <c r="H687" s="25"/>
      <c r="I687" s="25"/>
      <c r="J687" s="25"/>
      <c r="L687" s="25"/>
      <c r="O687" s="104"/>
      <c r="P687" s="19"/>
      <c r="Q687" s="19"/>
      <c r="R687" s="19"/>
      <c r="S687" s="19"/>
      <c r="T687" s="19"/>
      <c r="U687" s="19"/>
      <c r="V687" s="19"/>
    </row>
    <row r="688" spans="3:22" ht="15">
      <c r="C688" s="118"/>
      <c r="D688" s="25"/>
      <c r="E688" s="25"/>
      <c r="F688" s="25"/>
      <c r="G688" s="104"/>
      <c r="H688" s="25"/>
      <c r="I688" s="25"/>
      <c r="J688" s="25"/>
      <c r="L688" s="25"/>
      <c r="O688" s="104"/>
      <c r="P688" s="19"/>
      <c r="Q688" s="19"/>
      <c r="R688" s="19"/>
      <c r="S688" s="19"/>
      <c r="T688" s="19"/>
      <c r="U688" s="19"/>
      <c r="V688" s="19"/>
    </row>
    <row r="689" spans="3:22" ht="15">
      <c r="C689" s="118"/>
      <c r="D689" s="25"/>
      <c r="E689" s="25"/>
      <c r="F689" s="25"/>
      <c r="G689" s="104"/>
      <c r="H689" s="25"/>
      <c r="I689" s="25"/>
      <c r="J689" s="25"/>
      <c r="L689" s="25"/>
      <c r="O689" s="104"/>
      <c r="P689" s="19"/>
      <c r="Q689" s="19"/>
      <c r="R689" s="19"/>
      <c r="S689" s="19"/>
      <c r="T689" s="19"/>
      <c r="U689" s="19"/>
      <c r="V689" s="19"/>
    </row>
    <row r="690" spans="3:22" ht="15">
      <c r="C690" s="118"/>
      <c r="D690" s="25"/>
      <c r="E690" s="25"/>
      <c r="F690" s="25"/>
      <c r="G690" s="104"/>
      <c r="H690" s="25"/>
      <c r="I690" s="25"/>
      <c r="J690" s="25"/>
      <c r="L690" s="25"/>
      <c r="O690" s="104"/>
      <c r="P690" s="19"/>
      <c r="Q690" s="19"/>
      <c r="R690" s="19"/>
      <c r="S690" s="19"/>
      <c r="T690" s="19"/>
      <c r="U690" s="19"/>
      <c r="V690" s="19"/>
    </row>
    <row r="691" spans="3:22" ht="15">
      <c r="C691" s="118"/>
      <c r="D691" s="25"/>
      <c r="E691" s="25"/>
      <c r="F691" s="25"/>
      <c r="G691" s="104"/>
      <c r="H691" s="25"/>
      <c r="I691" s="25"/>
      <c r="J691" s="25"/>
      <c r="L691" s="25"/>
      <c r="O691" s="104"/>
      <c r="P691" s="19"/>
      <c r="Q691" s="19"/>
      <c r="R691" s="19"/>
      <c r="S691" s="19"/>
      <c r="T691" s="19"/>
      <c r="U691" s="19"/>
      <c r="V691" s="19"/>
    </row>
    <row r="692" spans="3:22" ht="15">
      <c r="C692" s="118"/>
      <c r="D692" s="25"/>
      <c r="E692" s="25"/>
      <c r="F692" s="25"/>
      <c r="G692" s="104"/>
      <c r="H692" s="25"/>
      <c r="I692" s="25"/>
      <c r="J692" s="25"/>
      <c r="L692" s="25"/>
      <c r="O692" s="104"/>
      <c r="P692" s="19"/>
      <c r="Q692" s="19"/>
      <c r="R692" s="19"/>
      <c r="S692" s="19"/>
      <c r="T692" s="19"/>
      <c r="U692" s="19"/>
      <c r="V692" s="19"/>
    </row>
    <row r="693" spans="3:22" ht="15">
      <c r="C693" s="118"/>
      <c r="D693" s="25"/>
      <c r="E693" s="25"/>
      <c r="F693" s="25"/>
      <c r="G693" s="104"/>
      <c r="H693" s="25"/>
      <c r="I693" s="25"/>
      <c r="J693" s="25"/>
      <c r="L693" s="25"/>
      <c r="O693" s="104"/>
      <c r="P693" s="19"/>
      <c r="Q693" s="19"/>
      <c r="R693" s="19"/>
      <c r="S693" s="19"/>
      <c r="T693" s="19"/>
      <c r="U693" s="19"/>
      <c r="V693" s="19"/>
    </row>
    <row r="694" spans="3:22" ht="15">
      <c r="C694" s="118"/>
      <c r="D694" s="25"/>
      <c r="E694" s="25"/>
      <c r="F694" s="25"/>
      <c r="G694" s="104"/>
      <c r="H694" s="25"/>
      <c r="I694" s="25"/>
      <c r="J694" s="25"/>
      <c r="L694" s="25"/>
      <c r="O694" s="104"/>
      <c r="P694" s="19"/>
      <c r="Q694" s="19"/>
      <c r="R694" s="19"/>
      <c r="S694" s="19"/>
      <c r="T694" s="19"/>
      <c r="U694" s="19"/>
      <c r="V694" s="19"/>
    </row>
    <row r="695" spans="3:22" ht="15">
      <c r="C695" s="118"/>
      <c r="D695" s="25"/>
      <c r="E695" s="25"/>
      <c r="F695" s="25"/>
      <c r="G695" s="104"/>
      <c r="H695" s="25"/>
      <c r="I695" s="25"/>
      <c r="J695" s="25"/>
      <c r="L695" s="25"/>
      <c r="O695" s="104"/>
      <c r="P695" s="19"/>
      <c r="Q695" s="19"/>
      <c r="R695" s="19"/>
      <c r="S695" s="19"/>
      <c r="T695" s="19"/>
      <c r="U695" s="19"/>
      <c r="V695" s="19"/>
    </row>
    <row r="696" spans="3:22" ht="15">
      <c r="C696" s="118"/>
      <c r="D696" s="25"/>
      <c r="E696" s="25"/>
      <c r="F696" s="25"/>
      <c r="G696" s="104"/>
      <c r="H696" s="25"/>
      <c r="I696" s="25"/>
      <c r="J696" s="25"/>
      <c r="L696" s="25"/>
      <c r="O696" s="104"/>
      <c r="P696" s="19"/>
      <c r="Q696" s="19"/>
      <c r="R696" s="19"/>
      <c r="S696" s="19"/>
      <c r="T696" s="19"/>
      <c r="U696" s="19"/>
      <c r="V696" s="19"/>
    </row>
    <row r="697" spans="3:22" ht="15">
      <c r="C697" s="118"/>
      <c r="D697" s="25"/>
      <c r="E697" s="25"/>
      <c r="F697" s="25"/>
      <c r="G697" s="104"/>
      <c r="H697" s="25"/>
      <c r="I697" s="25"/>
      <c r="J697" s="25"/>
      <c r="L697" s="25"/>
      <c r="O697" s="104"/>
      <c r="P697" s="19"/>
      <c r="Q697" s="19"/>
      <c r="R697" s="19"/>
      <c r="S697" s="19"/>
      <c r="T697" s="19"/>
      <c r="U697" s="19"/>
      <c r="V697" s="19"/>
    </row>
    <row r="698" spans="3:22" ht="15">
      <c r="C698" s="118"/>
      <c r="D698" s="25"/>
      <c r="E698" s="25"/>
      <c r="F698" s="25"/>
      <c r="G698" s="104"/>
      <c r="H698" s="25"/>
      <c r="I698" s="25"/>
      <c r="J698" s="25"/>
      <c r="L698" s="25"/>
      <c r="O698" s="104"/>
      <c r="P698" s="19"/>
      <c r="Q698" s="19"/>
      <c r="R698" s="19"/>
      <c r="S698" s="19"/>
      <c r="T698" s="19"/>
      <c r="U698" s="19"/>
      <c r="V698" s="19"/>
    </row>
    <row r="699" spans="3:22" ht="15">
      <c r="C699" s="118"/>
      <c r="D699" s="25"/>
      <c r="E699" s="25"/>
      <c r="F699" s="25"/>
      <c r="G699" s="104"/>
      <c r="H699" s="25"/>
      <c r="I699" s="25"/>
      <c r="J699" s="25"/>
      <c r="L699" s="25"/>
      <c r="O699" s="104"/>
      <c r="P699" s="19"/>
      <c r="Q699" s="19"/>
      <c r="R699" s="19"/>
      <c r="S699" s="19"/>
      <c r="T699" s="19"/>
      <c r="U699" s="19"/>
      <c r="V699" s="19"/>
    </row>
    <row r="700" spans="3:22" ht="15">
      <c r="C700" s="118"/>
      <c r="D700" s="25"/>
      <c r="E700" s="25"/>
      <c r="F700" s="25"/>
      <c r="G700" s="104"/>
      <c r="H700" s="25"/>
      <c r="I700" s="25"/>
      <c r="J700" s="25"/>
      <c r="L700" s="25"/>
      <c r="O700" s="104"/>
      <c r="P700" s="19"/>
      <c r="Q700" s="19"/>
      <c r="R700" s="19"/>
      <c r="S700" s="19"/>
      <c r="T700" s="19"/>
      <c r="U700" s="19"/>
      <c r="V700" s="19"/>
    </row>
    <row r="701" spans="3:22" ht="15">
      <c r="C701" s="118"/>
      <c r="D701" s="25"/>
      <c r="E701" s="25"/>
      <c r="F701" s="25"/>
      <c r="G701" s="104"/>
      <c r="H701" s="25"/>
      <c r="I701" s="25"/>
      <c r="J701" s="25"/>
      <c r="L701" s="25"/>
      <c r="O701" s="104"/>
      <c r="P701" s="19"/>
      <c r="Q701" s="19"/>
      <c r="R701" s="19"/>
      <c r="S701" s="19"/>
      <c r="T701" s="19"/>
      <c r="U701" s="19"/>
      <c r="V701" s="19"/>
    </row>
    <row r="702" spans="3:22" ht="15">
      <c r="C702" s="118"/>
      <c r="D702" s="25"/>
      <c r="E702" s="25"/>
      <c r="F702" s="25"/>
      <c r="G702" s="104"/>
      <c r="H702" s="25"/>
      <c r="I702" s="25"/>
      <c r="J702" s="25"/>
      <c r="L702" s="25"/>
      <c r="O702" s="104"/>
      <c r="P702" s="19"/>
      <c r="Q702" s="19"/>
      <c r="R702" s="19"/>
      <c r="S702" s="19"/>
      <c r="T702" s="19"/>
      <c r="U702" s="19"/>
      <c r="V702" s="19"/>
    </row>
    <row r="703" spans="3:22" ht="15">
      <c r="C703" s="118"/>
      <c r="D703" s="25"/>
      <c r="E703" s="25"/>
      <c r="F703" s="25"/>
      <c r="G703" s="104"/>
      <c r="H703" s="25"/>
      <c r="I703" s="25"/>
      <c r="J703" s="25"/>
      <c r="L703" s="25"/>
      <c r="O703" s="104"/>
      <c r="P703" s="19"/>
      <c r="Q703" s="19"/>
      <c r="R703" s="19"/>
      <c r="S703" s="19"/>
      <c r="T703" s="19"/>
      <c r="U703" s="19"/>
      <c r="V703" s="19"/>
    </row>
    <row r="704" spans="3:22" ht="15">
      <c r="C704" s="118"/>
      <c r="D704" s="25"/>
      <c r="E704" s="25"/>
      <c r="F704" s="25"/>
      <c r="G704" s="104"/>
      <c r="H704" s="25"/>
      <c r="I704" s="25"/>
      <c r="J704" s="25"/>
      <c r="L704" s="25"/>
      <c r="O704" s="104"/>
      <c r="P704" s="19"/>
      <c r="Q704" s="19"/>
      <c r="R704" s="19"/>
      <c r="S704" s="19"/>
      <c r="T704" s="19"/>
      <c r="U704" s="19"/>
      <c r="V704" s="19"/>
    </row>
    <row r="705" spans="3:22" ht="15">
      <c r="C705" s="118"/>
      <c r="D705" s="25"/>
      <c r="E705" s="25"/>
      <c r="F705" s="25"/>
      <c r="G705" s="104"/>
      <c r="H705" s="25"/>
      <c r="I705" s="25"/>
      <c r="J705" s="25"/>
      <c r="L705" s="25"/>
      <c r="O705" s="104"/>
      <c r="P705" s="19"/>
      <c r="Q705" s="19"/>
      <c r="R705" s="19"/>
      <c r="S705" s="19"/>
      <c r="T705" s="19"/>
      <c r="U705" s="19"/>
      <c r="V705" s="19"/>
    </row>
    <row r="706" spans="3:22" ht="15">
      <c r="C706" s="118"/>
      <c r="D706" s="25"/>
      <c r="E706" s="25"/>
      <c r="F706" s="25"/>
      <c r="G706" s="104"/>
      <c r="H706" s="25"/>
      <c r="I706" s="25"/>
      <c r="J706" s="25"/>
      <c r="L706" s="25"/>
      <c r="O706" s="104"/>
      <c r="P706" s="19"/>
      <c r="Q706" s="19"/>
      <c r="R706" s="19"/>
      <c r="S706" s="19"/>
      <c r="T706" s="19"/>
      <c r="U706" s="19"/>
      <c r="V706" s="19"/>
    </row>
    <row r="707" spans="3:22" ht="15">
      <c r="C707" s="118"/>
      <c r="D707" s="25"/>
      <c r="E707" s="25"/>
      <c r="F707" s="25"/>
      <c r="G707" s="104"/>
      <c r="H707" s="25"/>
      <c r="I707" s="25"/>
      <c r="J707" s="25"/>
      <c r="L707" s="25"/>
      <c r="O707" s="104"/>
      <c r="P707" s="19"/>
      <c r="Q707" s="19"/>
      <c r="R707" s="19"/>
      <c r="S707" s="19"/>
      <c r="T707" s="19"/>
      <c r="U707" s="19"/>
      <c r="V707" s="19"/>
    </row>
    <row r="708" spans="3:22" ht="15">
      <c r="C708" s="118"/>
      <c r="D708" s="25"/>
      <c r="E708" s="25"/>
      <c r="F708" s="25"/>
      <c r="G708" s="104"/>
      <c r="H708" s="25"/>
      <c r="I708" s="25"/>
      <c r="J708" s="25"/>
      <c r="L708" s="25"/>
      <c r="O708" s="104"/>
      <c r="P708" s="19"/>
      <c r="Q708" s="19"/>
      <c r="R708" s="19"/>
      <c r="S708" s="19"/>
      <c r="T708" s="19"/>
      <c r="U708" s="19"/>
      <c r="V708" s="19"/>
    </row>
    <row r="709" spans="3:22" ht="15">
      <c r="C709" s="118"/>
      <c r="D709" s="25"/>
      <c r="E709" s="25"/>
      <c r="F709" s="25"/>
      <c r="G709" s="104"/>
      <c r="H709" s="25"/>
      <c r="I709" s="25"/>
      <c r="J709" s="25"/>
      <c r="L709" s="25"/>
      <c r="O709" s="104"/>
      <c r="P709" s="19"/>
      <c r="Q709" s="19"/>
      <c r="R709" s="19"/>
      <c r="S709" s="19"/>
      <c r="T709" s="19"/>
      <c r="U709" s="19"/>
      <c r="V709" s="19"/>
    </row>
    <row r="710" spans="3:22" ht="15">
      <c r="C710" s="118"/>
      <c r="D710" s="25"/>
      <c r="E710" s="25"/>
      <c r="F710" s="25"/>
      <c r="G710" s="104"/>
      <c r="H710" s="25"/>
      <c r="I710" s="25"/>
      <c r="J710" s="25"/>
      <c r="L710" s="25"/>
      <c r="O710" s="104"/>
      <c r="P710" s="19"/>
      <c r="Q710" s="19"/>
      <c r="R710" s="19"/>
      <c r="S710" s="19"/>
      <c r="T710" s="19"/>
      <c r="U710" s="19"/>
      <c r="V710" s="19"/>
    </row>
    <row r="711" spans="3:22" ht="15">
      <c r="C711" s="118"/>
      <c r="D711" s="25"/>
      <c r="E711" s="25"/>
      <c r="F711" s="25"/>
      <c r="G711" s="104"/>
      <c r="H711" s="25"/>
      <c r="I711" s="25"/>
      <c r="J711" s="25"/>
      <c r="L711" s="25"/>
      <c r="O711" s="104"/>
      <c r="P711" s="19"/>
      <c r="Q711" s="19"/>
      <c r="R711" s="19"/>
      <c r="S711" s="19"/>
      <c r="T711" s="19"/>
      <c r="U711" s="19"/>
      <c r="V711" s="19"/>
    </row>
    <row r="712" spans="3:22" ht="15">
      <c r="C712" s="118"/>
      <c r="D712" s="25"/>
      <c r="E712" s="25"/>
      <c r="F712" s="25"/>
      <c r="G712" s="104"/>
      <c r="H712" s="25"/>
      <c r="I712" s="25"/>
      <c r="J712" s="25"/>
      <c r="L712" s="25"/>
      <c r="O712" s="104"/>
      <c r="P712" s="19"/>
      <c r="Q712" s="19"/>
      <c r="R712" s="19"/>
      <c r="S712" s="19"/>
      <c r="T712" s="19"/>
      <c r="U712" s="19"/>
      <c r="V712" s="19"/>
    </row>
    <row r="713" spans="3:22" ht="15">
      <c r="C713" s="118"/>
      <c r="D713" s="25"/>
      <c r="E713" s="25"/>
      <c r="F713" s="25"/>
      <c r="G713" s="104"/>
      <c r="H713" s="25"/>
      <c r="I713" s="25"/>
      <c r="J713" s="25"/>
      <c r="L713" s="25"/>
      <c r="O713" s="104"/>
      <c r="P713" s="19"/>
      <c r="Q713" s="19"/>
      <c r="R713" s="19"/>
      <c r="S713" s="19"/>
      <c r="T713" s="19"/>
      <c r="U713" s="19"/>
      <c r="V713" s="19"/>
    </row>
    <row r="714" spans="3:22" ht="15">
      <c r="C714" s="118"/>
      <c r="D714" s="25"/>
      <c r="E714" s="25"/>
      <c r="F714" s="25"/>
      <c r="G714" s="104"/>
      <c r="H714" s="25"/>
      <c r="I714" s="25"/>
      <c r="J714" s="25"/>
      <c r="L714" s="25"/>
      <c r="O714" s="104"/>
      <c r="P714" s="19"/>
      <c r="Q714" s="19"/>
      <c r="R714" s="19"/>
      <c r="S714" s="19"/>
      <c r="T714" s="19"/>
      <c r="U714" s="19"/>
      <c r="V714" s="19"/>
    </row>
    <row r="715" spans="3:22" ht="15">
      <c r="C715" s="118"/>
      <c r="D715" s="25"/>
      <c r="E715" s="25"/>
      <c r="F715" s="25"/>
      <c r="G715" s="104"/>
      <c r="H715" s="25"/>
      <c r="I715" s="25"/>
      <c r="J715" s="25"/>
      <c r="L715" s="25"/>
      <c r="O715" s="104"/>
      <c r="P715" s="19"/>
      <c r="Q715" s="19"/>
      <c r="R715" s="19"/>
      <c r="S715" s="19"/>
      <c r="T715" s="19"/>
      <c r="U715" s="19"/>
      <c r="V715" s="19"/>
    </row>
    <row r="716" spans="3:22" ht="15">
      <c r="C716" s="118"/>
      <c r="D716" s="25"/>
      <c r="E716" s="25"/>
      <c r="F716" s="25"/>
      <c r="G716" s="104"/>
      <c r="H716" s="25"/>
      <c r="I716" s="25"/>
      <c r="J716" s="25"/>
      <c r="L716" s="25"/>
      <c r="O716" s="104"/>
      <c r="P716" s="19"/>
      <c r="Q716" s="19"/>
      <c r="R716" s="19"/>
      <c r="S716" s="19"/>
      <c r="T716" s="19"/>
      <c r="U716" s="19"/>
      <c r="V716" s="19"/>
    </row>
    <row r="717" spans="3:22" ht="15">
      <c r="C717" s="118"/>
      <c r="D717" s="25"/>
      <c r="E717" s="25"/>
      <c r="F717" s="25"/>
      <c r="G717" s="104"/>
      <c r="H717" s="25"/>
      <c r="I717" s="25"/>
      <c r="J717" s="25"/>
      <c r="L717" s="25"/>
      <c r="O717" s="104"/>
      <c r="P717" s="19"/>
      <c r="Q717" s="19"/>
      <c r="R717" s="19"/>
      <c r="S717" s="19"/>
      <c r="T717" s="19"/>
      <c r="U717" s="19"/>
      <c r="V717" s="19"/>
    </row>
    <row r="718" spans="3:22" ht="15">
      <c r="C718" s="118"/>
      <c r="D718" s="25"/>
      <c r="E718" s="25"/>
      <c r="F718" s="25"/>
      <c r="G718" s="104"/>
      <c r="H718" s="25"/>
      <c r="I718" s="25"/>
      <c r="J718" s="25"/>
      <c r="L718" s="25"/>
      <c r="O718" s="104"/>
      <c r="P718" s="19"/>
      <c r="Q718" s="19"/>
      <c r="R718" s="19"/>
      <c r="S718" s="19"/>
      <c r="T718" s="19"/>
      <c r="U718" s="19"/>
      <c r="V718" s="19"/>
    </row>
    <row r="719" spans="3:22" ht="15">
      <c r="C719" s="118"/>
      <c r="D719" s="25"/>
      <c r="E719" s="25"/>
      <c r="F719" s="25"/>
      <c r="G719" s="104"/>
      <c r="H719" s="25"/>
      <c r="I719" s="25"/>
      <c r="J719" s="25"/>
      <c r="L719" s="25"/>
      <c r="O719" s="104"/>
      <c r="P719" s="19"/>
      <c r="Q719" s="19"/>
      <c r="R719" s="19"/>
      <c r="S719" s="19"/>
      <c r="T719" s="19"/>
      <c r="U719" s="19"/>
      <c r="V719" s="19"/>
    </row>
    <row r="720" spans="3:22" ht="15">
      <c r="C720" s="118"/>
      <c r="D720" s="25"/>
      <c r="E720" s="25"/>
      <c r="F720" s="25"/>
      <c r="G720" s="104"/>
      <c r="H720" s="25"/>
      <c r="I720" s="25"/>
      <c r="J720" s="25"/>
      <c r="L720" s="25"/>
      <c r="O720" s="104"/>
      <c r="P720" s="19"/>
      <c r="Q720" s="19"/>
      <c r="R720" s="19"/>
      <c r="S720" s="19"/>
      <c r="T720" s="19"/>
      <c r="U720" s="19"/>
      <c r="V720" s="19"/>
    </row>
    <row r="721" spans="3:22" ht="15">
      <c r="C721" s="118"/>
      <c r="D721" s="25"/>
      <c r="E721" s="25"/>
      <c r="F721" s="25"/>
      <c r="G721" s="104"/>
      <c r="H721" s="25"/>
      <c r="I721" s="25"/>
      <c r="J721" s="25"/>
      <c r="L721" s="25"/>
      <c r="O721" s="104"/>
      <c r="P721" s="19"/>
      <c r="Q721" s="19"/>
      <c r="R721" s="19"/>
      <c r="S721" s="19"/>
      <c r="T721" s="19"/>
      <c r="U721" s="19"/>
      <c r="V721" s="19"/>
    </row>
    <row r="722" spans="3:22" ht="15">
      <c r="C722" s="118"/>
      <c r="D722" s="25"/>
      <c r="E722" s="25"/>
      <c r="F722" s="25"/>
      <c r="G722" s="104"/>
      <c r="H722" s="25"/>
      <c r="I722" s="25"/>
      <c r="J722" s="25"/>
      <c r="L722" s="25"/>
      <c r="O722" s="104"/>
      <c r="P722" s="19"/>
      <c r="Q722" s="19"/>
      <c r="R722" s="19"/>
      <c r="S722" s="19"/>
      <c r="T722" s="19"/>
      <c r="U722" s="19"/>
      <c r="V722" s="19"/>
    </row>
    <row r="723" spans="3:22" ht="15">
      <c r="C723" s="118"/>
      <c r="D723" s="25"/>
      <c r="E723" s="25"/>
      <c r="F723" s="25"/>
      <c r="G723" s="104"/>
      <c r="H723" s="25"/>
      <c r="I723" s="25"/>
      <c r="J723" s="25"/>
      <c r="L723" s="25"/>
      <c r="O723" s="104"/>
      <c r="P723" s="19"/>
      <c r="Q723" s="19"/>
      <c r="R723" s="19"/>
      <c r="S723" s="19"/>
      <c r="T723" s="19"/>
      <c r="U723" s="19"/>
      <c r="V723" s="19"/>
    </row>
    <row r="724" spans="3:22" ht="15">
      <c r="C724" s="118"/>
      <c r="D724" s="25"/>
      <c r="E724" s="25"/>
      <c r="F724" s="25"/>
      <c r="G724" s="104"/>
      <c r="H724" s="25"/>
      <c r="I724" s="25"/>
      <c r="J724" s="25"/>
      <c r="L724" s="25"/>
      <c r="O724" s="104"/>
      <c r="P724" s="19"/>
      <c r="Q724" s="19"/>
      <c r="R724" s="19"/>
      <c r="S724" s="19"/>
      <c r="T724" s="19"/>
      <c r="U724" s="19"/>
      <c r="V724" s="19"/>
    </row>
    <row r="725" spans="3:22" ht="15">
      <c r="C725" s="118"/>
      <c r="D725" s="25"/>
      <c r="E725" s="25"/>
      <c r="F725" s="25"/>
      <c r="G725" s="104"/>
      <c r="H725" s="25"/>
      <c r="I725" s="25"/>
      <c r="J725" s="25"/>
      <c r="L725" s="25"/>
      <c r="O725" s="104"/>
      <c r="P725" s="19"/>
      <c r="Q725" s="19"/>
      <c r="R725" s="19"/>
      <c r="S725" s="19"/>
      <c r="T725" s="19"/>
      <c r="U725" s="19"/>
      <c r="V725" s="19"/>
    </row>
    <row r="726" spans="3:22" ht="15">
      <c r="C726" s="118"/>
      <c r="D726" s="25"/>
      <c r="E726" s="25"/>
      <c r="F726" s="25"/>
      <c r="G726" s="104"/>
      <c r="H726" s="25"/>
      <c r="I726" s="25"/>
      <c r="J726" s="25"/>
      <c r="L726" s="25"/>
      <c r="O726" s="104"/>
      <c r="P726" s="19"/>
      <c r="Q726" s="19"/>
      <c r="R726" s="19"/>
      <c r="S726" s="19"/>
      <c r="T726" s="19"/>
      <c r="U726" s="19"/>
      <c r="V726" s="19"/>
    </row>
    <row r="727" spans="3:22" ht="15">
      <c r="C727" s="118"/>
      <c r="D727" s="25"/>
      <c r="E727" s="25"/>
      <c r="F727" s="25"/>
      <c r="G727" s="104"/>
      <c r="H727" s="25"/>
      <c r="I727" s="25"/>
      <c r="J727" s="25"/>
      <c r="L727" s="25"/>
      <c r="O727" s="104"/>
      <c r="P727" s="19"/>
      <c r="Q727" s="19"/>
      <c r="R727" s="19"/>
      <c r="S727" s="19"/>
      <c r="T727" s="19"/>
      <c r="U727" s="19"/>
      <c r="V727" s="19"/>
    </row>
    <row r="728" spans="3:22" ht="15">
      <c r="C728" s="118"/>
      <c r="D728" s="25"/>
      <c r="E728" s="25"/>
      <c r="F728" s="25"/>
      <c r="G728" s="104"/>
      <c r="H728" s="25"/>
      <c r="I728" s="25"/>
      <c r="J728" s="25"/>
      <c r="L728" s="25"/>
      <c r="O728" s="104"/>
      <c r="P728" s="19"/>
      <c r="Q728" s="19"/>
      <c r="R728" s="19"/>
      <c r="S728" s="19"/>
      <c r="T728" s="19"/>
      <c r="U728" s="19"/>
      <c r="V728" s="19"/>
    </row>
    <row r="729" spans="3:22" ht="15">
      <c r="C729" s="118"/>
      <c r="D729" s="25"/>
      <c r="E729" s="25"/>
      <c r="F729" s="25"/>
      <c r="G729" s="104"/>
      <c r="H729" s="25"/>
      <c r="I729" s="25"/>
      <c r="J729" s="25"/>
      <c r="L729" s="25"/>
      <c r="O729" s="104"/>
      <c r="P729" s="19"/>
      <c r="Q729" s="19"/>
      <c r="R729" s="19"/>
      <c r="S729" s="19"/>
      <c r="T729" s="19"/>
      <c r="U729" s="19"/>
      <c r="V729" s="19"/>
    </row>
    <row r="730" spans="3:22" ht="15">
      <c r="C730" s="118"/>
      <c r="D730" s="25"/>
      <c r="E730" s="25"/>
      <c r="F730" s="25"/>
      <c r="G730" s="104"/>
      <c r="H730" s="25"/>
      <c r="I730" s="25"/>
      <c r="J730" s="25"/>
      <c r="L730" s="25"/>
      <c r="O730" s="104"/>
      <c r="P730" s="19"/>
      <c r="Q730" s="19"/>
      <c r="R730" s="19"/>
      <c r="S730" s="19"/>
      <c r="T730" s="19"/>
      <c r="U730" s="19"/>
      <c r="V730" s="19"/>
    </row>
    <row r="731" spans="3:22" ht="15">
      <c r="C731" s="118"/>
      <c r="D731" s="25"/>
      <c r="E731" s="25"/>
      <c r="F731" s="25"/>
      <c r="G731" s="104"/>
      <c r="H731" s="25"/>
      <c r="I731" s="25"/>
      <c r="J731" s="25"/>
      <c r="L731" s="25"/>
      <c r="O731" s="104"/>
      <c r="P731" s="19"/>
      <c r="Q731" s="19"/>
      <c r="R731" s="19"/>
      <c r="S731" s="19"/>
      <c r="T731" s="19"/>
      <c r="U731" s="19"/>
      <c r="V731" s="19"/>
    </row>
    <row r="732" spans="3:22" ht="15">
      <c r="C732" s="118"/>
      <c r="D732" s="25"/>
      <c r="E732" s="25"/>
      <c r="F732" s="25"/>
      <c r="G732" s="104"/>
      <c r="H732" s="25"/>
      <c r="I732" s="25"/>
      <c r="J732" s="25"/>
      <c r="L732" s="25"/>
      <c r="O732" s="104"/>
      <c r="P732" s="19"/>
      <c r="Q732" s="19"/>
      <c r="R732" s="19"/>
      <c r="S732" s="19"/>
      <c r="T732" s="19"/>
      <c r="U732" s="19"/>
      <c r="V732" s="19"/>
    </row>
    <row r="733" spans="3:22" ht="15">
      <c r="C733" s="118"/>
      <c r="D733" s="25"/>
      <c r="E733" s="25"/>
      <c r="F733" s="25"/>
      <c r="G733" s="104"/>
      <c r="H733" s="25"/>
      <c r="I733" s="25"/>
      <c r="J733" s="25"/>
      <c r="L733" s="25"/>
      <c r="O733" s="104"/>
      <c r="P733" s="19"/>
      <c r="Q733" s="19"/>
      <c r="R733" s="19"/>
      <c r="S733" s="19"/>
      <c r="T733" s="19"/>
      <c r="U733" s="19"/>
      <c r="V733" s="19"/>
    </row>
    <row r="734" spans="3:22" ht="15">
      <c r="C734" s="118"/>
      <c r="D734" s="25"/>
      <c r="E734" s="25"/>
      <c r="F734" s="25"/>
      <c r="G734" s="104"/>
      <c r="H734" s="25"/>
      <c r="I734" s="25"/>
      <c r="J734" s="25"/>
      <c r="L734" s="25"/>
      <c r="O734" s="104"/>
      <c r="P734" s="19"/>
      <c r="Q734" s="19"/>
      <c r="R734" s="19"/>
      <c r="S734" s="19"/>
      <c r="T734" s="19"/>
      <c r="U734" s="19"/>
      <c r="V734" s="19"/>
    </row>
    <row r="735" spans="3:22" ht="15">
      <c r="C735" s="118"/>
      <c r="D735" s="25"/>
      <c r="E735" s="25"/>
      <c r="F735" s="25"/>
      <c r="G735" s="104"/>
      <c r="H735" s="25"/>
      <c r="I735" s="25"/>
      <c r="J735" s="25"/>
      <c r="L735" s="25"/>
      <c r="O735" s="104"/>
      <c r="P735" s="19"/>
      <c r="Q735" s="19"/>
      <c r="R735" s="19"/>
      <c r="S735" s="19"/>
      <c r="T735" s="19"/>
      <c r="U735" s="19"/>
      <c r="V735" s="19"/>
    </row>
    <row r="736" spans="3:22" ht="15">
      <c r="C736" s="118"/>
      <c r="D736" s="25"/>
      <c r="E736" s="25"/>
      <c r="F736" s="25"/>
      <c r="G736" s="104"/>
      <c r="H736" s="25"/>
      <c r="I736" s="25"/>
      <c r="J736" s="25"/>
      <c r="L736" s="25"/>
      <c r="O736" s="104"/>
      <c r="P736" s="19"/>
      <c r="Q736" s="19"/>
      <c r="R736" s="19"/>
      <c r="S736" s="19"/>
      <c r="T736" s="19"/>
      <c r="U736" s="19"/>
      <c r="V736" s="19"/>
    </row>
    <row r="737" spans="3:22" ht="15">
      <c r="C737" s="118"/>
      <c r="D737" s="25"/>
      <c r="E737" s="25"/>
      <c r="F737" s="25"/>
      <c r="G737" s="104"/>
      <c r="H737" s="25"/>
      <c r="I737" s="25"/>
      <c r="J737" s="25"/>
      <c r="L737" s="25"/>
      <c r="O737" s="104"/>
      <c r="P737" s="19"/>
      <c r="Q737" s="19"/>
      <c r="R737" s="19"/>
      <c r="S737" s="19"/>
      <c r="T737" s="19"/>
      <c r="U737" s="19"/>
      <c r="V737" s="19"/>
    </row>
    <row r="738" spans="3:22" ht="15">
      <c r="C738" s="118"/>
      <c r="D738" s="25"/>
      <c r="E738" s="25"/>
      <c r="F738" s="25"/>
      <c r="G738" s="104"/>
      <c r="H738" s="25"/>
      <c r="I738" s="25"/>
      <c r="J738" s="25"/>
      <c r="L738" s="25"/>
      <c r="O738" s="104"/>
      <c r="P738" s="19"/>
      <c r="Q738" s="19"/>
      <c r="R738" s="19"/>
      <c r="S738" s="19"/>
      <c r="T738" s="19"/>
      <c r="U738" s="19"/>
      <c r="V738" s="19"/>
    </row>
    <row r="739" spans="3:22" ht="15">
      <c r="C739" s="118"/>
      <c r="D739" s="25"/>
      <c r="E739" s="25"/>
      <c r="F739" s="25"/>
      <c r="G739" s="104"/>
      <c r="H739" s="25"/>
      <c r="I739" s="25"/>
      <c r="J739" s="25"/>
      <c r="L739" s="25"/>
      <c r="O739" s="104"/>
      <c r="P739" s="19"/>
      <c r="Q739" s="19"/>
      <c r="R739" s="19"/>
      <c r="S739" s="19"/>
      <c r="T739" s="19"/>
      <c r="U739" s="19"/>
      <c r="V739" s="19"/>
    </row>
    <row r="740" spans="3:22" ht="15">
      <c r="C740" s="118"/>
      <c r="D740" s="25"/>
      <c r="E740" s="25"/>
      <c r="F740" s="25"/>
      <c r="G740" s="104"/>
      <c r="H740" s="25"/>
      <c r="I740" s="25"/>
      <c r="J740" s="25"/>
      <c r="L740" s="25"/>
      <c r="O740" s="104"/>
      <c r="P740" s="19"/>
      <c r="Q740" s="19"/>
      <c r="R740" s="19"/>
      <c r="S740" s="19"/>
      <c r="T740" s="19"/>
      <c r="U740" s="19"/>
      <c r="V740" s="19"/>
    </row>
    <row r="741" spans="3:22" ht="15">
      <c r="C741" s="118"/>
      <c r="D741" s="25"/>
      <c r="E741" s="25"/>
      <c r="F741" s="25"/>
      <c r="G741" s="104"/>
      <c r="H741" s="25"/>
      <c r="I741" s="25"/>
      <c r="J741" s="25"/>
      <c r="L741" s="25"/>
      <c r="O741" s="104"/>
      <c r="P741" s="19"/>
      <c r="Q741" s="19"/>
      <c r="R741" s="19"/>
      <c r="S741" s="19"/>
      <c r="T741" s="19"/>
      <c r="U741" s="19"/>
      <c r="V741" s="19"/>
    </row>
    <row r="742" spans="3:22" ht="15">
      <c r="C742" s="118"/>
      <c r="D742" s="25"/>
      <c r="E742" s="25"/>
      <c r="F742" s="25"/>
      <c r="G742" s="104"/>
      <c r="H742" s="25"/>
      <c r="I742" s="25"/>
      <c r="J742" s="25"/>
      <c r="L742" s="25"/>
      <c r="O742" s="104"/>
      <c r="P742" s="19"/>
      <c r="Q742" s="19"/>
      <c r="R742" s="19"/>
      <c r="S742" s="19"/>
      <c r="T742" s="19"/>
      <c r="U742" s="19"/>
      <c r="V742" s="19"/>
    </row>
    <row r="743" spans="3:22" ht="15">
      <c r="C743" s="118"/>
      <c r="D743" s="25"/>
      <c r="E743" s="25"/>
      <c r="F743" s="25"/>
      <c r="G743" s="104"/>
      <c r="H743" s="25"/>
      <c r="I743" s="25"/>
      <c r="J743" s="25"/>
      <c r="L743" s="25"/>
      <c r="O743" s="104"/>
      <c r="P743" s="19"/>
      <c r="Q743" s="19"/>
      <c r="R743" s="19"/>
      <c r="S743" s="19"/>
      <c r="T743" s="19"/>
      <c r="U743" s="19"/>
      <c r="V743" s="19"/>
    </row>
    <row r="744" spans="3:22" ht="15">
      <c r="C744" s="118"/>
      <c r="D744" s="25"/>
      <c r="E744" s="25"/>
      <c r="F744" s="25"/>
      <c r="G744" s="104"/>
      <c r="H744" s="25"/>
      <c r="I744" s="25"/>
      <c r="J744" s="25"/>
      <c r="L744" s="25"/>
      <c r="O744" s="104"/>
      <c r="P744" s="19"/>
      <c r="Q744" s="19"/>
      <c r="R744" s="19"/>
      <c r="S744" s="19"/>
      <c r="T744" s="19"/>
      <c r="U744" s="19"/>
      <c r="V744" s="19"/>
    </row>
    <row r="745" spans="3:22" ht="15">
      <c r="C745" s="118"/>
      <c r="D745" s="25"/>
      <c r="E745" s="25"/>
      <c r="F745" s="25"/>
      <c r="G745" s="104"/>
      <c r="H745" s="25"/>
      <c r="I745" s="25"/>
      <c r="J745" s="25"/>
      <c r="L745" s="25"/>
      <c r="O745" s="104"/>
      <c r="P745" s="19"/>
      <c r="Q745" s="19"/>
      <c r="R745" s="19"/>
      <c r="S745" s="19"/>
      <c r="T745" s="19"/>
      <c r="U745" s="19"/>
      <c r="V745" s="19"/>
    </row>
    <row r="746" spans="3:22" ht="15">
      <c r="C746" s="118"/>
      <c r="D746" s="25"/>
      <c r="E746" s="25"/>
      <c r="F746" s="25"/>
      <c r="G746" s="104"/>
      <c r="H746" s="25"/>
      <c r="I746" s="25"/>
      <c r="J746" s="25"/>
      <c r="L746" s="25"/>
      <c r="O746" s="104"/>
      <c r="P746" s="19"/>
      <c r="Q746" s="19"/>
      <c r="R746" s="19"/>
      <c r="S746" s="19"/>
      <c r="T746" s="19"/>
      <c r="U746" s="19"/>
      <c r="V746" s="19"/>
    </row>
    <row r="747" spans="3:22" ht="15">
      <c r="C747" s="118"/>
      <c r="D747" s="25"/>
      <c r="E747" s="25"/>
      <c r="F747" s="25"/>
      <c r="G747" s="104"/>
      <c r="H747" s="25"/>
      <c r="I747" s="25"/>
      <c r="J747" s="25"/>
      <c r="L747" s="25"/>
      <c r="O747" s="104"/>
      <c r="P747" s="19"/>
      <c r="Q747" s="19"/>
      <c r="R747" s="19"/>
      <c r="S747" s="19"/>
      <c r="T747" s="19"/>
      <c r="U747" s="19"/>
      <c r="V747" s="19"/>
    </row>
    <row r="748" spans="3:22" ht="15">
      <c r="C748" s="118"/>
      <c r="D748" s="25"/>
      <c r="E748" s="25"/>
      <c r="F748" s="25"/>
      <c r="G748" s="104"/>
      <c r="H748" s="25"/>
      <c r="I748" s="25"/>
      <c r="J748" s="25"/>
      <c r="L748" s="25"/>
      <c r="O748" s="104"/>
      <c r="P748" s="19"/>
      <c r="Q748" s="19"/>
      <c r="R748" s="19"/>
      <c r="S748" s="19"/>
      <c r="T748" s="19"/>
      <c r="U748" s="19"/>
      <c r="V748" s="19"/>
    </row>
    <row r="749" spans="3:22" ht="15">
      <c r="C749" s="118"/>
      <c r="D749" s="25"/>
      <c r="E749" s="25"/>
      <c r="F749" s="25"/>
      <c r="G749" s="104"/>
      <c r="H749" s="25"/>
      <c r="I749" s="25"/>
      <c r="J749" s="25"/>
      <c r="L749" s="25"/>
      <c r="O749" s="104"/>
      <c r="P749" s="19"/>
      <c r="Q749" s="19"/>
      <c r="R749" s="19"/>
      <c r="S749" s="19"/>
      <c r="T749" s="19"/>
      <c r="U749" s="19"/>
      <c r="V749" s="19"/>
    </row>
    <row r="750" spans="3:22" ht="15">
      <c r="C750" s="118"/>
      <c r="D750" s="25"/>
      <c r="E750" s="25"/>
      <c r="F750" s="25"/>
      <c r="G750" s="104"/>
      <c r="H750" s="25"/>
      <c r="I750" s="25"/>
      <c r="J750" s="25"/>
      <c r="L750" s="25"/>
      <c r="O750" s="104"/>
      <c r="P750" s="19"/>
      <c r="Q750" s="19"/>
      <c r="R750" s="19"/>
      <c r="S750" s="19"/>
      <c r="T750" s="19"/>
      <c r="U750" s="19"/>
      <c r="V750" s="19"/>
    </row>
    <row r="751" spans="3:22" ht="15">
      <c r="C751" s="118"/>
      <c r="D751" s="25"/>
      <c r="E751" s="25"/>
      <c r="F751" s="25"/>
      <c r="G751" s="104"/>
      <c r="H751" s="25"/>
      <c r="I751" s="25"/>
      <c r="J751" s="25"/>
      <c r="L751" s="25"/>
      <c r="O751" s="104"/>
      <c r="P751" s="19"/>
      <c r="Q751" s="19"/>
      <c r="R751" s="19"/>
      <c r="S751" s="19"/>
      <c r="T751" s="19"/>
      <c r="U751" s="19"/>
      <c r="V751" s="19"/>
    </row>
    <row r="752" spans="3:22" ht="15">
      <c r="C752" s="118"/>
      <c r="D752" s="25"/>
      <c r="E752" s="25"/>
      <c r="F752" s="25"/>
      <c r="G752" s="104"/>
      <c r="H752" s="25"/>
      <c r="I752" s="25"/>
      <c r="J752" s="25"/>
      <c r="L752" s="25"/>
      <c r="O752" s="104"/>
      <c r="P752" s="19"/>
      <c r="Q752" s="19"/>
      <c r="R752" s="19"/>
      <c r="S752" s="19"/>
      <c r="T752" s="19"/>
      <c r="U752" s="19"/>
      <c r="V752" s="19"/>
    </row>
    <row r="753" spans="3:22" ht="15">
      <c r="C753" s="118"/>
      <c r="D753" s="25"/>
      <c r="E753" s="25"/>
      <c r="F753" s="25"/>
      <c r="G753" s="104"/>
      <c r="H753" s="25"/>
      <c r="I753" s="25"/>
      <c r="J753" s="25"/>
      <c r="L753" s="25"/>
      <c r="O753" s="104"/>
      <c r="P753" s="19"/>
      <c r="Q753" s="19"/>
      <c r="R753" s="19"/>
      <c r="S753" s="19"/>
      <c r="T753" s="19"/>
      <c r="U753" s="19"/>
      <c r="V753" s="19"/>
    </row>
    <row r="754" spans="3:22" ht="15">
      <c r="C754" s="118"/>
      <c r="D754" s="25"/>
      <c r="E754" s="25"/>
      <c r="F754" s="25"/>
      <c r="G754" s="104"/>
      <c r="H754" s="25"/>
      <c r="I754" s="25"/>
      <c r="J754" s="25"/>
      <c r="L754" s="25"/>
      <c r="O754" s="104"/>
      <c r="P754" s="19"/>
      <c r="Q754" s="19"/>
      <c r="R754" s="19"/>
      <c r="S754" s="19"/>
      <c r="T754" s="19"/>
      <c r="U754" s="19"/>
      <c r="V754" s="19"/>
    </row>
    <row r="755" spans="3:22" ht="15">
      <c r="C755" s="118"/>
      <c r="D755" s="25"/>
      <c r="E755" s="25"/>
      <c r="F755" s="25"/>
      <c r="G755" s="104"/>
      <c r="H755" s="25"/>
      <c r="I755" s="25"/>
      <c r="J755" s="25"/>
      <c r="L755" s="25"/>
      <c r="O755" s="104"/>
      <c r="P755" s="19"/>
      <c r="Q755" s="19"/>
      <c r="R755" s="19"/>
      <c r="S755" s="19"/>
      <c r="T755" s="19"/>
      <c r="U755" s="19"/>
      <c r="V755" s="19"/>
    </row>
    <row r="756" spans="3:22" ht="15">
      <c r="C756" s="118"/>
      <c r="D756" s="25"/>
      <c r="E756" s="25"/>
      <c r="F756" s="25"/>
      <c r="G756" s="104"/>
      <c r="H756" s="25"/>
      <c r="I756" s="25"/>
      <c r="J756" s="25"/>
      <c r="L756" s="25"/>
      <c r="O756" s="104"/>
      <c r="P756" s="19"/>
      <c r="Q756" s="19"/>
      <c r="R756" s="19"/>
      <c r="S756" s="19"/>
      <c r="T756" s="19"/>
      <c r="U756" s="19"/>
      <c r="V756" s="19"/>
    </row>
    <row r="757" spans="3:22" ht="15">
      <c r="C757" s="118"/>
      <c r="D757" s="25"/>
      <c r="E757" s="25"/>
      <c r="F757" s="25"/>
      <c r="G757" s="104"/>
      <c r="H757" s="25"/>
      <c r="I757" s="25"/>
      <c r="J757" s="25"/>
      <c r="L757" s="25"/>
      <c r="O757" s="104"/>
      <c r="P757" s="19"/>
      <c r="Q757" s="19"/>
      <c r="R757" s="19"/>
      <c r="S757" s="19"/>
      <c r="T757" s="19"/>
      <c r="U757" s="19"/>
      <c r="V757" s="19"/>
    </row>
    <row r="758" spans="3:22" ht="15">
      <c r="C758" s="118"/>
      <c r="D758" s="25"/>
      <c r="E758" s="25"/>
      <c r="F758" s="25"/>
      <c r="G758" s="104"/>
      <c r="H758" s="25"/>
      <c r="I758" s="25"/>
      <c r="J758" s="25"/>
      <c r="L758" s="25"/>
      <c r="O758" s="104"/>
      <c r="P758" s="19"/>
      <c r="Q758" s="19"/>
      <c r="R758" s="19"/>
      <c r="S758" s="19"/>
      <c r="T758" s="19"/>
      <c r="U758" s="19"/>
      <c r="V758" s="19"/>
    </row>
    <row r="759" spans="3:22" ht="15">
      <c r="C759" s="118"/>
      <c r="D759" s="25"/>
      <c r="E759" s="25"/>
      <c r="F759" s="25"/>
      <c r="G759" s="104"/>
      <c r="H759" s="25"/>
      <c r="I759" s="25"/>
      <c r="J759" s="25"/>
      <c r="L759" s="25"/>
      <c r="O759" s="104"/>
      <c r="P759" s="19"/>
      <c r="Q759" s="19"/>
      <c r="R759" s="19"/>
      <c r="S759" s="19"/>
      <c r="T759" s="19"/>
      <c r="U759" s="19"/>
      <c r="V759" s="19"/>
    </row>
    <row r="760" spans="3:22" ht="15">
      <c r="C760" s="118"/>
      <c r="D760" s="25"/>
      <c r="E760" s="25"/>
      <c r="F760" s="25"/>
      <c r="G760" s="104"/>
      <c r="H760" s="25"/>
      <c r="I760" s="25"/>
      <c r="J760" s="25"/>
      <c r="L760" s="25"/>
      <c r="O760" s="104"/>
      <c r="P760" s="19"/>
      <c r="Q760" s="19"/>
      <c r="R760" s="19"/>
      <c r="S760" s="19"/>
      <c r="T760" s="19"/>
      <c r="U760" s="19"/>
      <c r="V760" s="19"/>
    </row>
    <row r="761" spans="3:22" ht="15">
      <c r="C761" s="118"/>
      <c r="D761" s="25"/>
      <c r="E761" s="25"/>
      <c r="F761" s="25"/>
      <c r="G761" s="104"/>
      <c r="H761" s="25"/>
      <c r="I761" s="25"/>
      <c r="J761" s="25"/>
      <c r="L761" s="25"/>
      <c r="O761" s="104"/>
      <c r="P761" s="19"/>
      <c r="Q761" s="19"/>
      <c r="R761" s="19"/>
      <c r="S761" s="19"/>
      <c r="T761" s="19"/>
      <c r="U761" s="19"/>
      <c r="V761" s="19"/>
    </row>
    <row r="762" spans="3:22" ht="15">
      <c r="C762" s="118"/>
      <c r="D762" s="25"/>
      <c r="E762" s="25"/>
      <c r="F762" s="25"/>
      <c r="G762" s="104"/>
      <c r="H762" s="25"/>
      <c r="I762" s="25"/>
      <c r="J762" s="25"/>
      <c r="L762" s="25"/>
      <c r="O762" s="104"/>
      <c r="P762" s="19"/>
      <c r="Q762" s="19"/>
      <c r="R762" s="19"/>
      <c r="S762" s="19"/>
      <c r="T762" s="19"/>
      <c r="U762" s="19"/>
      <c r="V762" s="19"/>
    </row>
    <row r="763" spans="3:22" ht="15">
      <c r="C763" s="118"/>
      <c r="D763" s="25"/>
      <c r="E763" s="25"/>
      <c r="F763" s="25"/>
      <c r="G763" s="104"/>
      <c r="H763" s="25"/>
      <c r="I763" s="25"/>
      <c r="J763" s="25"/>
      <c r="L763" s="25"/>
      <c r="O763" s="104"/>
      <c r="P763" s="19"/>
      <c r="Q763" s="19"/>
      <c r="R763" s="19"/>
      <c r="S763" s="19"/>
      <c r="T763" s="19"/>
      <c r="U763" s="19"/>
      <c r="V763" s="19"/>
    </row>
    <row r="764" spans="3:22" ht="15">
      <c r="C764" s="118"/>
      <c r="D764" s="25"/>
      <c r="E764" s="25"/>
      <c r="F764" s="25"/>
      <c r="G764" s="104"/>
      <c r="H764" s="25"/>
      <c r="I764" s="25"/>
      <c r="J764" s="25"/>
      <c r="L764" s="25"/>
      <c r="O764" s="104"/>
      <c r="P764" s="19"/>
      <c r="Q764" s="19"/>
      <c r="R764" s="19"/>
      <c r="S764" s="19"/>
      <c r="T764" s="19"/>
      <c r="U764" s="19"/>
      <c r="V764" s="19"/>
    </row>
    <row r="765" spans="3:22" ht="15">
      <c r="C765" s="118"/>
      <c r="D765" s="25"/>
      <c r="E765" s="25"/>
      <c r="F765" s="25"/>
      <c r="G765" s="104"/>
      <c r="H765" s="25"/>
      <c r="I765" s="25"/>
      <c r="J765" s="25"/>
      <c r="L765" s="25"/>
      <c r="O765" s="104"/>
      <c r="P765" s="19"/>
      <c r="Q765" s="19"/>
      <c r="R765" s="19"/>
      <c r="S765" s="19"/>
      <c r="T765" s="19"/>
      <c r="U765" s="19"/>
      <c r="V765" s="19"/>
    </row>
    <row r="766" spans="3:22" ht="15">
      <c r="C766" s="118"/>
      <c r="D766" s="25"/>
      <c r="E766" s="25"/>
      <c r="F766" s="25"/>
      <c r="G766" s="104"/>
      <c r="H766" s="25"/>
      <c r="I766" s="25"/>
      <c r="J766" s="25"/>
      <c r="L766" s="25"/>
      <c r="O766" s="104"/>
      <c r="P766" s="19"/>
      <c r="Q766" s="19"/>
      <c r="R766" s="19"/>
      <c r="S766" s="19"/>
      <c r="T766" s="19"/>
      <c r="U766" s="19"/>
      <c r="V766" s="19"/>
    </row>
    <row r="767" spans="3:22" ht="15">
      <c r="C767" s="118"/>
      <c r="D767" s="25"/>
      <c r="E767" s="25"/>
      <c r="F767" s="25"/>
      <c r="G767" s="104"/>
      <c r="H767" s="25"/>
      <c r="I767" s="25"/>
      <c r="J767" s="25"/>
      <c r="L767" s="25"/>
      <c r="O767" s="104"/>
      <c r="P767" s="19"/>
      <c r="Q767" s="19"/>
      <c r="R767" s="19"/>
      <c r="S767" s="19"/>
      <c r="T767" s="19"/>
      <c r="U767" s="19"/>
      <c r="V767" s="19"/>
    </row>
    <row r="768" spans="3:22" ht="15">
      <c r="C768" s="118"/>
      <c r="D768" s="25"/>
      <c r="E768" s="25"/>
      <c r="F768" s="25"/>
      <c r="G768" s="104"/>
      <c r="H768" s="25"/>
      <c r="I768" s="25"/>
      <c r="J768" s="25"/>
      <c r="L768" s="25"/>
      <c r="O768" s="104"/>
      <c r="P768" s="19"/>
      <c r="Q768" s="19"/>
      <c r="R768" s="19"/>
      <c r="S768" s="19"/>
      <c r="T768" s="19"/>
      <c r="U768" s="19"/>
      <c r="V768" s="19"/>
    </row>
    <row r="769" spans="3:22" ht="15">
      <c r="C769" s="118"/>
      <c r="D769" s="25"/>
      <c r="E769" s="25"/>
      <c r="F769" s="25"/>
      <c r="G769" s="104"/>
      <c r="H769" s="25"/>
      <c r="I769" s="25"/>
      <c r="J769" s="25"/>
      <c r="L769" s="25"/>
      <c r="O769" s="104"/>
      <c r="P769" s="19"/>
      <c r="Q769" s="19"/>
      <c r="R769" s="19"/>
      <c r="S769" s="19"/>
      <c r="T769" s="19"/>
      <c r="U769" s="19"/>
      <c r="V769" s="19"/>
    </row>
    <row r="770" spans="3:22" ht="15">
      <c r="C770" s="118"/>
      <c r="D770" s="25"/>
      <c r="E770" s="25"/>
      <c r="F770" s="25"/>
      <c r="G770" s="104"/>
      <c r="H770" s="25"/>
      <c r="I770" s="25"/>
      <c r="J770" s="25"/>
      <c r="L770" s="25"/>
      <c r="O770" s="104"/>
      <c r="P770" s="19"/>
      <c r="Q770" s="19"/>
      <c r="R770" s="19"/>
      <c r="S770" s="19"/>
      <c r="T770" s="19"/>
      <c r="U770" s="19"/>
      <c r="V770" s="19"/>
    </row>
    <row r="771" spans="3:22" ht="15">
      <c r="C771" s="118"/>
      <c r="D771" s="25"/>
      <c r="E771" s="25"/>
      <c r="F771" s="25"/>
      <c r="G771" s="104"/>
      <c r="H771" s="25"/>
      <c r="I771" s="25"/>
      <c r="J771" s="25"/>
      <c r="L771" s="25"/>
      <c r="O771" s="104"/>
      <c r="P771" s="19"/>
      <c r="Q771" s="19"/>
      <c r="R771" s="19"/>
      <c r="S771" s="19"/>
      <c r="T771" s="19"/>
      <c r="U771" s="19"/>
      <c r="V771" s="19"/>
    </row>
    <row r="772" spans="3:22" ht="15">
      <c r="C772" s="118"/>
      <c r="D772" s="25"/>
      <c r="E772" s="25"/>
      <c r="F772" s="25"/>
      <c r="G772" s="104"/>
      <c r="H772" s="25"/>
      <c r="I772" s="25"/>
      <c r="J772" s="25"/>
      <c r="L772" s="25"/>
      <c r="O772" s="104"/>
      <c r="P772" s="19"/>
      <c r="Q772" s="19"/>
      <c r="R772" s="19"/>
      <c r="S772" s="19"/>
      <c r="T772" s="19"/>
      <c r="U772" s="19"/>
      <c r="V772" s="19"/>
    </row>
    <row r="773" spans="3:22" ht="15">
      <c r="C773" s="118"/>
      <c r="D773" s="25"/>
      <c r="E773" s="25"/>
      <c r="F773" s="25"/>
      <c r="G773" s="104"/>
      <c r="H773" s="25"/>
      <c r="I773" s="25"/>
      <c r="J773" s="25"/>
      <c r="L773" s="25"/>
      <c r="O773" s="104"/>
      <c r="P773" s="19"/>
      <c r="Q773" s="19"/>
      <c r="R773" s="19"/>
      <c r="S773" s="19"/>
      <c r="T773" s="19"/>
      <c r="U773" s="19"/>
      <c r="V773" s="19"/>
    </row>
    <row r="774" spans="3:22" ht="15">
      <c r="C774" s="118"/>
      <c r="D774" s="25"/>
      <c r="E774" s="25"/>
      <c r="F774" s="25"/>
      <c r="G774" s="104"/>
      <c r="H774" s="25"/>
      <c r="I774" s="25"/>
      <c r="J774" s="25"/>
      <c r="L774" s="25"/>
      <c r="O774" s="104"/>
      <c r="P774" s="19"/>
      <c r="Q774" s="19"/>
      <c r="R774" s="19"/>
      <c r="S774" s="19"/>
      <c r="T774" s="19"/>
      <c r="U774" s="19"/>
      <c r="V774" s="19"/>
    </row>
    <row r="775" spans="3:22" ht="15">
      <c r="C775" s="118"/>
      <c r="D775" s="25"/>
      <c r="E775" s="25"/>
      <c r="F775" s="25"/>
      <c r="G775" s="104"/>
      <c r="H775" s="25"/>
      <c r="I775" s="25"/>
      <c r="J775" s="25"/>
      <c r="L775" s="25"/>
      <c r="O775" s="104"/>
      <c r="P775" s="19"/>
      <c r="Q775" s="19"/>
      <c r="R775" s="19"/>
      <c r="S775" s="19"/>
      <c r="T775" s="19"/>
      <c r="U775" s="19"/>
      <c r="V775" s="19"/>
    </row>
    <row r="776" spans="3:22" ht="15">
      <c r="C776" s="118"/>
      <c r="D776" s="25"/>
      <c r="E776" s="25"/>
      <c r="F776" s="25"/>
      <c r="G776" s="104"/>
      <c r="H776" s="25"/>
      <c r="I776" s="25"/>
      <c r="J776" s="25"/>
      <c r="L776" s="25"/>
      <c r="O776" s="104"/>
      <c r="P776" s="19"/>
      <c r="Q776" s="19"/>
      <c r="R776" s="19"/>
      <c r="S776" s="19"/>
      <c r="T776" s="19"/>
      <c r="U776" s="19"/>
      <c r="V776" s="19"/>
    </row>
    <row r="777" spans="3:22" ht="15">
      <c r="C777" s="118"/>
      <c r="D777" s="25"/>
      <c r="E777" s="25"/>
      <c r="F777" s="25"/>
      <c r="G777" s="104"/>
      <c r="H777" s="25"/>
      <c r="I777" s="25"/>
      <c r="J777" s="25"/>
      <c r="L777" s="25"/>
      <c r="O777" s="104"/>
      <c r="P777" s="19"/>
      <c r="Q777" s="19"/>
      <c r="R777" s="19"/>
      <c r="S777" s="19"/>
      <c r="T777" s="19"/>
      <c r="U777" s="19"/>
      <c r="V777" s="19"/>
    </row>
    <row r="778" spans="3:22" ht="15">
      <c r="C778" s="118"/>
      <c r="D778" s="25"/>
      <c r="E778" s="25"/>
      <c r="F778" s="25"/>
      <c r="G778" s="104"/>
      <c r="H778" s="25"/>
      <c r="I778" s="25"/>
      <c r="J778" s="25"/>
      <c r="L778" s="25"/>
      <c r="O778" s="104"/>
      <c r="P778" s="19"/>
      <c r="Q778" s="19"/>
      <c r="R778" s="19"/>
      <c r="S778" s="19"/>
      <c r="T778" s="19"/>
      <c r="U778" s="19"/>
      <c r="V778" s="19"/>
    </row>
    <row r="779" spans="3:22" ht="15">
      <c r="C779" s="118"/>
      <c r="D779" s="25"/>
      <c r="E779" s="25"/>
      <c r="F779" s="25"/>
      <c r="G779" s="104"/>
      <c r="H779" s="25"/>
      <c r="I779" s="25"/>
      <c r="J779" s="25"/>
      <c r="L779" s="25"/>
      <c r="O779" s="104"/>
      <c r="P779" s="19"/>
      <c r="Q779" s="19"/>
      <c r="R779" s="19"/>
      <c r="S779" s="19"/>
      <c r="T779" s="19"/>
      <c r="U779" s="19"/>
      <c r="V779" s="19"/>
    </row>
    <row r="780" spans="3:22" ht="15">
      <c r="C780" s="118"/>
      <c r="D780" s="25"/>
      <c r="E780" s="25"/>
      <c r="F780" s="25"/>
      <c r="G780" s="104"/>
      <c r="H780" s="25"/>
      <c r="I780" s="25"/>
      <c r="J780" s="25"/>
      <c r="L780" s="25"/>
      <c r="O780" s="104"/>
      <c r="P780" s="19"/>
      <c r="Q780" s="19"/>
      <c r="R780" s="19"/>
      <c r="S780" s="19"/>
      <c r="T780" s="19"/>
      <c r="U780" s="19"/>
      <c r="V780" s="19"/>
    </row>
    <row r="781" spans="3:22" ht="15">
      <c r="C781" s="118"/>
      <c r="D781" s="25"/>
      <c r="E781" s="25"/>
      <c r="F781" s="25"/>
      <c r="G781" s="104"/>
      <c r="H781" s="25"/>
      <c r="I781" s="25"/>
      <c r="J781" s="25"/>
      <c r="L781" s="25"/>
      <c r="O781" s="104"/>
      <c r="P781" s="19"/>
      <c r="Q781" s="19"/>
      <c r="R781" s="19"/>
      <c r="S781" s="19"/>
      <c r="T781" s="19"/>
      <c r="U781" s="19"/>
      <c r="V781" s="19"/>
    </row>
    <row r="782" spans="3:22" ht="15">
      <c r="C782" s="118"/>
      <c r="D782" s="25"/>
      <c r="E782" s="25"/>
      <c r="F782" s="25"/>
      <c r="G782" s="104"/>
      <c r="H782" s="25"/>
      <c r="I782" s="25"/>
      <c r="J782" s="25"/>
      <c r="L782" s="25"/>
      <c r="O782" s="104"/>
      <c r="P782" s="19"/>
      <c r="Q782" s="19"/>
      <c r="R782" s="19"/>
      <c r="S782" s="19"/>
      <c r="T782" s="19"/>
      <c r="U782" s="19"/>
      <c r="V782" s="19"/>
    </row>
    <row r="783" spans="3:22" ht="15">
      <c r="C783" s="118"/>
      <c r="D783" s="25"/>
      <c r="E783" s="25"/>
      <c r="F783" s="25"/>
      <c r="G783" s="104"/>
      <c r="H783" s="25"/>
      <c r="I783" s="25"/>
      <c r="J783" s="25"/>
      <c r="L783" s="25"/>
      <c r="O783" s="104"/>
      <c r="P783" s="19"/>
      <c r="Q783" s="19"/>
      <c r="R783" s="19"/>
      <c r="S783" s="19"/>
      <c r="T783" s="19"/>
      <c r="U783" s="19"/>
      <c r="V783" s="19"/>
    </row>
    <row r="784" spans="3:22" ht="15">
      <c r="C784" s="118"/>
      <c r="D784" s="25"/>
      <c r="E784" s="25"/>
      <c r="F784" s="25"/>
      <c r="G784" s="104"/>
      <c r="H784" s="25"/>
      <c r="I784" s="25"/>
      <c r="J784" s="25"/>
      <c r="L784" s="25"/>
      <c r="O784" s="104"/>
      <c r="P784" s="19"/>
      <c r="Q784" s="19"/>
      <c r="R784" s="19"/>
      <c r="S784" s="19"/>
      <c r="T784" s="19"/>
      <c r="U784" s="19"/>
      <c r="V784" s="19"/>
    </row>
    <row r="785" spans="3:22" ht="15">
      <c r="C785" s="118"/>
      <c r="D785" s="25"/>
      <c r="E785" s="25"/>
      <c r="F785" s="25"/>
      <c r="G785" s="104"/>
      <c r="H785" s="25"/>
      <c r="I785" s="25"/>
      <c r="J785" s="25"/>
      <c r="L785" s="25"/>
      <c r="O785" s="104"/>
      <c r="P785" s="19"/>
      <c r="Q785" s="19"/>
      <c r="R785" s="19"/>
      <c r="S785" s="19"/>
      <c r="T785" s="19"/>
      <c r="U785" s="19"/>
      <c r="V785" s="19"/>
    </row>
    <row r="786" spans="3:22" ht="15">
      <c r="C786" s="118"/>
      <c r="D786" s="25"/>
      <c r="E786" s="25"/>
      <c r="F786" s="25"/>
      <c r="G786" s="104"/>
      <c r="H786" s="25"/>
      <c r="I786" s="25"/>
      <c r="J786" s="25"/>
      <c r="L786" s="25"/>
      <c r="O786" s="104"/>
      <c r="P786" s="19"/>
      <c r="Q786" s="19"/>
      <c r="R786" s="19"/>
      <c r="S786" s="19"/>
      <c r="T786" s="19"/>
      <c r="U786" s="19"/>
      <c r="V786" s="19"/>
    </row>
    <row r="787" spans="3:22" ht="15">
      <c r="C787" s="118"/>
      <c r="D787" s="25"/>
      <c r="E787" s="25"/>
      <c r="F787" s="25"/>
      <c r="G787" s="104"/>
      <c r="H787" s="25"/>
      <c r="I787" s="25"/>
      <c r="J787" s="25"/>
      <c r="L787" s="25"/>
      <c r="O787" s="104"/>
      <c r="P787" s="19"/>
      <c r="Q787" s="19"/>
      <c r="R787" s="19"/>
      <c r="S787" s="19"/>
      <c r="T787" s="19"/>
      <c r="U787" s="19"/>
      <c r="V787" s="19"/>
    </row>
    <row r="788" spans="3:22" ht="15">
      <c r="C788" s="118"/>
      <c r="D788" s="25"/>
      <c r="E788" s="25"/>
      <c r="F788" s="25"/>
      <c r="G788" s="104"/>
      <c r="H788" s="25"/>
      <c r="I788" s="25"/>
      <c r="J788" s="25"/>
      <c r="L788" s="25"/>
      <c r="O788" s="104"/>
      <c r="P788" s="19"/>
      <c r="Q788" s="19"/>
      <c r="R788" s="19"/>
      <c r="S788" s="19"/>
      <c r="T788" s="19"/>
      <c r="U788" s="19"/>
      <c r="V788" s="19"/>
    </row>
    <row r="789" spans="3:22" ht="15">
      <c r="C789" s="118"/>
      <c r="D789" s="25"/>
      <c r="E789" s="25"/>
      <c r="F789" s="25"/>
      <c r="G789" s="104"/>
      <c r="H789" s="25"/>
      <c r="I789" s="25"/>
      <c r="J789" s="25"/>
      <c r="L789" s="25"/>
      <c r="O789" s="104"/>
      <c r="P789" s="19"/>
      <c r="Q789" s="19"/>
      <c r="R789" s="19"/>
      <c r="S789" s="19"/>
      <c r="T789" s="19"/>
      <c r="U789" s="19"/>
      <c r="V789" s="19"/>
    </row>
    <row r="790" spans="3:22" ht="15">
      <c r="C790" s="118"/>
      <c r="D790" s="25"/>
      <c r="E790" s="25"/>
      <c r="F790" s="25"/>
      <c r="G790" s="104"/>
      <c r="H790" s="25"/>
      <c r="I790" s="25"/>
      <c r="J790" s="25"/>
      <c r="L790" s="25"/>
      <c r="O790" s="104"/>
      <c r="P790" s="19"/>
      <c r="Q790" s="19"/>
      <c r="R790" s="19"/>
      <c r="S790" s="19"/>
      <c r="T790" s="19"/>
      <c r="U790" s="19"/>
      <c r="V790" s="19"/>
    </row>
    <row r="791" spans="3:22" ht="15">
      <c r="C791" s="118"/>
      <c r="D791" s="25"/>
      <c r="E791" s="25"/>
      <c r="F791" s="25"/>
      <c r="G791" s="104"/>
      <c r="H791" s="25"/>
      <c r="I791" s="25"/>
      <c r="J791" s="25"/>
      <c r="L791" s="25"/>
      <c r="O791" s="104"/>
      <c r="P791" s="19"/>
      <c r="Q791" s="19"/>
      <c r="R791" s="19"/>
      <c r="S791" s="19"/>
      <c r="T791" s="19"/>
      <c r="U791" s="19"/>
      <c r="V791" s="19"/>
    </row>
    <row r="792" spans="3:22" ht="15">
      <c r="C792" s="118"/>
      <c r="D792" s="25"/>
      <c r="E792" s="25"/>
      <c r="F792" s="25"/>
      <c r="G792" s="104"/>
      <c r="H792" s="25"/>
      <c r="I792" s="25"/>
      <c r="J792" s="25"/>
      <c r="L792" s="25"/>
      <c r="O792" s="104"/>
      <c r="P792" s="19"/>
      <c r="Q792" s="19"/>
      <c r="R792" s="19"/>
      <c r="S792" s="19"/>
      <c r="T792" s="19"/>
      <c r="U792" s="19"/>
      <c r="V792" s="19"/>
    </row>
    <row r="793" spans="3:22" ht="15">
      <c r="C793" s="118"/>
      <c r="D793" s="25"/>
      <c r="E793" s="25"/>
      <c r="F793" s="25"/>
      <c r="G793" s="104"/>
      <c r="H793" s="25"/>
      <c r="I793" s="25"/>
      <c r="J793" s="25"/>
      <c r="L793" s="25"/>
      <c r="O793" s="104"/>
      <c r="P793" s="19"/>
      <c r="Q793" s="19"/>
      <c r="R793" s="19"/>
      <c r="S793" s="19"/>
      <c r="T793" s="19"/>
      <c r="U793" s="19"/>
      <c r="V793" s="19"/>
    </row>
    <row r="794" spans="3:22" ht="15">
      <c r="C794" s="118"/>
      <c r="D794" s="25"/>
      <c r="E794" s="25"/>
      <c r="F794" s="25"/>
      <c r="G794" s="104"/>
      <c r="H794" s="25"/>
      <c r="I794" s="25"/>
      <c r="J794" s="25"/>
      <c r="L794" s="25"/>
      <c r="O794" s="104"/>
      <c r="P794" s="19"/>
      <c r="Q794" s="19"/>
      <c r="R794" s="19"/>
      <c r="S794" s="19"/>
      <c r="T794" s="19"/>
      <c r="U794" s="19"/>
      <c r="V794" s="19"/>
    </row>
    <row r="795" spans="3:22" ht="15">
      <c r="C795" s="118"/>
      <c r="D795" s="25"/>
      <c r="E795" s="25"/>
      <c r="F795" s="25"/>
      <c r="G795" s="104"/>
      <c r="H795" s="25"/>
      <c r="I795" s="25"/>
      <c r="J795" s="25"/>
      <c r="L795" s="25"/>
      <c r="O795" s="104"/>
      <c r="P795" s="19"/>
      <c r="Q795" s="19"/>
      <c r="R795" s="19"/>
      <c r="S795" s="19"/>
      <c r="T795" s="19"/>
      <c r="U795" s="19"/>
      <c r="V795" s="19"/>
    </row>
    <row r="796" spans="3:22" ht="15">
      <c r="C796" s="118"/>
      <c r="D796" s="25"/>
      <c r="E796" s="25"/>
      <c r="F796" s="25"/>
      <c r="G796" s="104"/>
      <c r="H796" s="25"/>
      <c r="I796" s="25"/>
      <c r="J796" s="25"/>
      <c r="L796" s="25"/>
      <c r="O796" s="104"/>
      <c r="P796" s="19"/>
      <c r="Q796" s="19"/>
      <c r="R796" s="19"/>
      <c r="S796" s="19"/>
      <c r="T796" s="19"/>
      <c r="U796" s="19"/>
      <c r="V796" s="19"/>
    </row>
    <row r="797" spans="3:22" ht="15">
      <c r="C797" s="118"/>
      <c r="D797" s="25"/>
      <c r="E797" s="25"/>
      <c r="F797" s="25"/>
      <c r="G797" s="104"/>
      <c r="H797" s="25"/>
      <c r="I797" s="25"/>
      <c r="J797" s="25"/>
      <c r="L797" s="25"/>
      <c r="O797" s="104"/>
      <c r="P797" s="19"/>
      <c r="Q797" s="19"/>
      <c r="R797" s="19"/>
      <c r="S797" s="19"/>
      <c r="T797" s="19"/>
      <c r="U797" s="19"/>
      <c r="V797" s="19"/>
    </row>
    <row r="798" spans="3:22" ht="15">
      <c r="C798" s="118"/>
      <c r="D798" s="25"/>
      <c r="E798" s="25"/>
      <c r="F798" s="25"/>
      <c r="G798" s="104"/>
      <c r="H798" s="25"/>
      <c r="I798" s="25"/>
      <c r="J798" s="25"/>
      <c r="L798" s="25"/>
      <c r="O798" s="104"/>
      <c r="P798" s="19"/>
      <c r="Q798" s="19"/>
      <c r="R798" s="19"/>
      <c r="S798" s="19"/>
      <c r="T798" s="19"/>
      <c r="U798" s="19"/>
      <c r="V798" s="19"/>
    </row>
    <row r="799" spans="3:22" ht="15">
      <c r="C799" s="118"/>
      <c r="D799" s="25"/>
      <c r="E799" s="25"/>
      <c r="F799" s="25"/>
      <c r="G799" s="104"/>
      <c r="H799" s="25"/>
      <c r="I799" s="25"/>
      <c r="J799" s="25"/>
      <c r="L799" s="25"/>
      <c r="O799" s="104"/>
      <c r="P799" s="19"/>
      <c r="Q799" s="19"/>
      <c r="R799" s="19"/>
      <c r="S799" s="19"/>
      <c r="T799" s="19"/>
      <c r="U799" s="19"/>
      <c r="V799" s="19"/>
    </row>
    <row r="800" spans="3:22" ht="15">
      <c r="C800" s="118"/>
      <c r="D800" s="25"/>
      <c r="E800" s="25"/>
      <c r="F800" s="25"/>
      <c r="G800" s="104"/>
      <c r="H800" s="25"/>
      <c r="I800" s="25"/>
      <c r="J800" s="25"/>
      <c r="L800" s="25"/>
      <c r="O800" s="104"/>
      <c r="P800" s="19"/>
      <c r="Q800" s="19"/>
      <c r="R800" s="19"/>
      <c r="S800" s="19"/>
      <c r="T800" s="19"/>
      <c r="U800" s="19"/>
      <c r="V800" s="19"/>
    </row>
    <row r="801" spans="3:22" ht="15">
      <c r="C801" s="118"/>
      <c r="D801" s="25"/>
      <c r="E801" s="25"/>
      <c r="F801" s="25"/>
      <c r="G801" s="104"/>
      <c r="H801" s="25"/>
      <c r="I801" s="25"/>
      <c r="J801" s="25"/>
      <c r="L801" s="25"/>
      <c r="O801" s="104"/>
      <c r="P801" s="19"/>
      <c r="Q801" s="19"/>
      <c r="R801" s="19"/>
      <c r="S801" s="19"/>
      <c r="T801" s="19"/>
      <c r="U801" s="19"/>
      <c r="V801" s="19"/>
    </row>
    <row r="802" spans="3:22" ht="15">
      <c r="C802" s="118"/>
      <c r="D802" s="25"/>
      <c r="E802" s="25"/>
      <c r="F802" s="25"/>
      <c r="G802" s="104"/>
      <c r="H802" s="25"/>
      <c r="I802" s="25"/>
      <c r="J802" s="25"/>
      <c r="L802" s="25"/>
      <c r="O802" s="104"/>
      <c r="P802" s="19"/>
      <c r="Q802" s="19"/>
      <c r="R802" s="19"/>
      <c r="S802" s="19"/>
      <c r="T802" s="19"/>
      <c r="U802" s="19"/>
      <c r="V802" s="19"/>
    </row>
    <row r="803" spans="3:22" ht="15">
      <c r="C803" s="118"/>
      <c r="D803" s="25"/>
      <c r="E803" s="25"/>
      <c r="F803" s="25"/>
      <c r="G803" s="104"/>
      <c r="H803" s="25"/>
      <c r="I803" s="25"/>
      <c r="J803" s="25"/>
      <c r="L803" s="25"/>
      <c r="O803" s="104"/>
      <c r="P803" s="19"/>
      <c r="Q803" s="19"/>
      <c r="R803" s="19"/>
      <c r="S803" s="19"/>
      <c r="T803" s="19"/>
      <c r="U803" s="19"/>
      <c r="V803" s="19"/>
    </row>
    <row r="804" spans="3:22" ht="15">
      <c r="C804" s="118"/>
      <c r="D804" s="25"/>
      <c r="E804" s="25"/>
      <c r="F804" s="25"/>
      <c r="G804" s="104"/>
      <c r="H804" s="25"/>
      <c r="I804" s="25"/>
      <c r="J804" s="25"/>
      <c r="L804" s="25"/>
      <c r="O804" s="104"/>
      <c r="P804" s="19"/>
      <c r="Q804" s="19"/>
      <c r="R804" s="19"/>
      <c r="S804" s="19"/>
      <c r="T804" s="19"/>
      <c r="U804" s="19"/>
      <c r="V804" s="19"/>
    </row>
    <row r="805" spans="3:22" ht="15">
      <c r="C805" s="118"/>
      <c r="D805" s="25"/>
      <c r="E805" s="25"/>
      <c r="F805" s="25"/>
      <c r="G805" s="104"/>
      <c r="H805" s="25"/>
      <c r="I805" s="25"/>
      <c r="J805" s="25"/>
      <c r="L805" s="25"/>
      <c r="O805" s="104"/>
      <c r="P805" s="19"/>
      <c r="Q805" s="19"/>
      <c r="R805" s="19"/>
      <c r="S805" s="19"/>
      <c r="T805" s="19"/>
      <c r="U805" s="19"/>
      <c r="V805" s="19"/>
    </row>
    <row r="806" spans="3:22" ht="15">
      <c r="C806" s="118"/>
      <c r="D806" s="25"/>
      <c r="E806" s="25"/>
      <c r="F806" s="25"/>
      <c r="G806" s="104"/>
      <c r="H806" s="25"/>
      <c r="I806" s="25"/>
      <c r="J806" s="25"/>
      <c r="L806" s="25"/>
      <c r="O806" s="104"/>
      <c r="P806" s="19"/>
      <c r="Q806" s="19"/>
      <c r="R806" s="19"/>
      <c r="S806" s="19"/>
      <c r="T806" s="19"/>
      <c r="U806" s="19"/>
      <c r="V806" s="19"/>
    </row>
    <row r="807" spans="3:22" ht="15">
      <c r="C807" s="118"/>
      <c r="D807" s="25"/>
      <c r="E807" s="25"/>
      <c r="F807" s="25"/>
      <c r="G807" s="104"/>
      <c r="H807" s="25"/>
      <c r="I807" s="25"/>
      <c r="J807" s="25"/>
      <c r="L807" s="25"/>
      <c r="O807" s="104"/>
      <c r="P807" s="19"/>
      <c r="Q807" s="19"/>
      <c r="R807" s="19"/>
      <c r="S807" s="19"/>
      <c r="T807" s="19"/>
      <c r="U807" s="19"/>
      <c r="V807" s="19"/>
    </row>
    <row r="808" spans="3:22" ht="15">
      <c r="C808" s="118"/>
      <c r="D808" s="25"/>
      <c r="E808" s="25"/>
      <c r="F808" s="25"/>
      <c r="G808" s="104"/>
      <c r="H808" s="25"/>
      <c r="I808" s="25"/>
      <c r="J808" s="25"/>
      <c r="L808" s="25"/>
      <c r="O808" s="104"/>
      <c r="P808" s="19"/>
      <c r="Q808" s="19"/>
      <c r="R808" s="19"/>
      <c r="S808" s="19"/>
      <c r="T808" s="19"/>
      <c r="U808" s="19"/>
      <c r="V808" s="19"/>
    </row>
    <row r="809" spans="3:22" ht="15">
      <c r="C809" s="118"/>
      <c r="D809" s="25"/>
      <c r="E809" s="25"/>
      <c r="F809" s="25"/>
      <c r="G809" s="104"/>
      <c r="H809" s="25"/>
      <c r="I809" s="25"/>
      <c r="J809" s="25"/>
      <c r="L809" s="25"/>
      <c r="O809" s="104"/>
      <c r="P809" s="19"/>
      <c r="Q809" s="19"/>
      <c r="R809" s="19"/>
      <c r="S809" s="19"/>
      <c r="T809" s="19"/>
      <c r="U809" s="19"/>
      <c r="V809" s="19"/>
    </row>
    <row r="810" spans="3:22" ht="15">
      <c r="C810" s="118"/>
      <c r="D810" s="25"/>
      <c r="E810" s="25"/>
      <c r="F810" s="25"/>
      <c r="G810" s="104"/>
      <c r="H810" s="25"/>
      <c r="I810" s="25"/>
      <c r="J810" s="25"/>
      <c r="L810" s="25"/>
      <c r="O810" s="104"/>
      <c r="P810" s="19"/>
      <c r="Q810" s="19"/>
      <c r="R810" s="19"/>
      <c r="S810" s="19"/>
      <c r="T810" s="19"/>
      <c r="U810" s="19"/>
      <c r="V810" s="19"/>
    </row>
    <row r="811" spans="3:22" ht="15">
      <c r="C811" s="118"/>
      <c r="D811" s="25"/>
      <c r="E811" s="25"/>
      <c r="F811" s="25"/>
      <c r="G811" s="104"/>
      <c r="H811" s="25"/>
      <c r="I811" s="25"/>
      <c r="J811" s="25"/>
      <c r="L811" s="25"/>
      <c r="O811" s="104"/>
      <c r="P811" s="19"/>
      <c r="Q811" s="19"/>
      <c r="R811" s="19"/>
      <c r="S811" s="19"/>
      <c r="T811" s="19"/>
      <c r="U811" s="19"/>
      <c r="V811" s="19"/>
    </row>
    <row r="812" spans="3:22" ht="15">
      <c r="C812" s="118"/>
      <c r="D812" s="25"/>
      <c r="E812" s="25"/>
      <c r="F812" s="25"/>
      <c r="G812" s="104"/>
      <c r="H812" s="25"/>
      <c r="I812" s="25"/>
      <c r="J812" s="25"/>
      <c r="L812" s="25"/>
      <c r="O812" s="104"/>
      <c r="P812" s="19"/>
      <c r="Q812" s="19"/>
      <c r="R812" s="19"/>
      <c r="S812" s="19"/>
      <c r="T812" s="19"/>
      <c r="U812" s="19"/>
      <c r="V812" s="19"/>
    </row>
    <row r="813" spans="3:22" ht="15">
      <c r="C813" s="118"/>
      <c r="D813" s="25"/>
      <c r="E813" s="25"/>
      <c r="F813" s="25"/>
      <c r="G813" s="104"/>
      <c r="H813" s="25"/>
      <c r="I813" s="25"/>
      <c r="J813" s="25"/>
      <c r="L813" s="25"/>
      <c r="O813" s="104"/>
      <c r="P813" s="19"/>
      <c r="Q813" s="19"/>
      <c r="R813" s="19"/>
      <c r="S813" s="19"/>
      <c r="T813" s="19"/>
      <c r="U813" s="19"/>
      <c r="V813" s="19"/>
    </row>
    <row r="814" spans="3:22" ht="15">
      <c r="C814" s="118"/>
      <c r="D814" s="25"/>
      <c r="E814" s="25"/>
      <c r="F814" s="25"/>
      <c r="G814" s="104"/>
      <c r="H814" s="25"/>
      <c r="I814" s="25"/>
      <c r="J814" s="25"/>
      <c r="L814" s="25"/>
      <c r="O814" s="104"/>
      <c r="P814" s="19"/>
      <c r="Q814" s="19"/>
      <c r="R814" s="19"/>
      <c r="S814" s="19"/>
      <c r="T814" s="19"/>
      <c r="U814" s="19"/>
      <c r="V814" s="19"/>
    </row>
    <row r="815" spans="3:22" ht="15">
      <c r="C815" s="118"/>
      <c r="D815" s="25"/>
      <c r="E815" s="25"/>
      <c r="F815" s="25"/>
      <c r="G815" s="104"/>
      <c r="H815" s="25"/>
      <c r="I815" s="25"/>
      <c r="J815" s="25"/>
      <c r="L815" s="25"/>
      <c r="O815" s="104"/>
      <c r="P815" s="19"/>
      <c r="Q815" s="19"/>
      <c r="R815" s="19"/>
      <c r="S815" s="19"/>
      <c r="T815" s="19"/>
      <c r="U815" s="19"/>
      <c r="V815" s="19"/>
    </row>
    <row r="816" spans="3:22" ht="15">
      <c r="C816" s="118"/>
      <c r="D816" s="25"/>
      <c r="E816" s="25"/>
      <c r="F816" s="25"/>
      <c r="G816" s="104"/>
      <c r="H816" s="25"/>
      <c r="I816" s="25"/>
      <c r="J816" s="25"/>
      <c r="L816" s="25"/>
      <c r="O816" s="104"/>
      <c r="P816" s="19"/>
      <c r="Q816" s="19"/>
      <c r="R816" s="19"/>
      <c r="S816" s="19"/>
      <c r="T816" s="19"/>
      <c r="U816" s="19"/>
      <c r="V816" s="19"/>
    </row>
    <row r="817" spans="3:22" ht="15">
      <c r="C817" s="118"/>
      <c r="D817" s="25"/>
      <c r="E817" s="25"/>
      <c r="F817" s="25"/>
      <c r="G817" s="104"/>
      <c r="H817" s="25"/>
      <c r="I817" s="25"/>
      <c r="J817" s="25"/>
      <c r="L817" s="25"/>
      <c r="O817" s="104"/>
      <c r="P817" s="19"/>
      <c r="Q817" s="19"/>
      <c r="R817" s="19"/>
      <c r="S817" s="19"/>
      <c r="T817" s="19"/>
      <c r="U817" s="19"/>
      <c r="V817" s="19"/>
    </row>
    <row r="818" spans="3:22" ht="15">
      <c r="C818" s="118"/>
      <c r="D818" s="25"/>
      <c r="E818" s="25"/>
      <c r="F818" s="25"/>
      <c r="G818" s="104"/>
      <c r="H818" s="25"/>
      <c r="I818" s="25"/>
      <c r="J818" s="25"/>
      <c r="L818" s="25"/>
      <c r="O818" s="104"/>
      <c r="P818" s="19"/>
      <c r="Q818" s="19"/>
      <c r="R818" s="19"/>
      <c r="S818" s="19"/>
      <c r="T818" s="19"/>
      <c r="U818" s="19"/>
      <c r="V818" s="19"/>
    </row>
    <row r="819" spans="3:22" ht="15">
      <c r="C819" s="118"/>
      <c r="D819" s="25"/>
      <c r="E819" s="25"/>
      <c r="F819" s="25"/>
      <c r="G819" s="104"/>
      <c r="H819" s="25"/>
      <c r="I819" s="25"/>
      <c r="J819" s="25"/>
      <c r="L819" s="25"/>
      <c r="O819" s="104"/>
      <c r="P819" s="19"/>
      <c r="Q819" s="19"/>
      <c r="R819" s="19"/>
      <c r="S819" s="19"/>
      <c r="T819" s="19"/>
      <c r="U819" s="19"/>
      <c r="V819" s="19"/>
    </row>
    <row r="820" spans="3:22" ht="15">
      <c r="C820" s="118"/>
      <c r="D820" s="25"/>
      <c r="E820" s="25"/>
      <c r="F820" s="25"/>
      <c r="G820" s="104"/>
      <c r="H820" s="25"/>
      <c r="I820" s="25"/>
      <c r="J820" s="25"/>
      <c r="L820" s="25"/>
      <c r="O820" s="104"/>
      <c r="P820" s="19"/>
      <c r="Q820" s="19"/>
      <c r="R820" s="19"/>
      <c r="S820" s="19"/>
      <c r="T820" s="19"/>
      <c r="U820" s="19"/>
      <c r="V820" s="19"/>
    </row>
    <row r="821" spans="3:22" ht="15">
      <c r="C821" s="118"/>
      <c r="D821" s="25"/>
      <c r="E821" s="25"/>
      <c r="F821" s="25"/>
      <c r="G821" s="104"/>
      <c r="H821" s="25"/>
      <c r="I821" s="25"/>
      <c r="J821" s="25"/>
      <c r="L821" s="25"/>
      <c r="O821" s="104"/>
      <c r="P821" s="19"/>
      <c r="Q821" s="19"/>
      <c r="R821" s="19"/>
      <c r="S821" s="19"/>
      <c r="T821" s="19"/>
      <c r="U821" s="19"/>
      <c r="V821" s="19"/>
    </row>
    <row r="822" spans="3:22" ht="15">
      <c r="C822" s="118"/>
      <c r="D822" s="25"/>
      <c r="E822" s="25"/>
      <c r="F822" s="25"/>
      <c r="G822" s="104"/>
      <c r="H822" s="25"/>
      <c r="I822" s="25"/>
      <c r="J822" s="25"/>
      <c r="L822" s="25"/>
      <c r="O822" s="104"/>
      <c r="P822" s="19"/>
      <c r="Q822" s="19"/>
      <c r="R822" s="19"/>
      <c r="S822" s="19"/>
      <c r="T822" s="19"/>
      <c r="U822" s="19"/>
      <c r="V822" s="19"/>
    </row>
    <row r="823" spans="3:22" ht="15">
      <c r="C823" s="118"/>
      <c r="D823" s="25"/>
      <c r="E823" s="25"/>
      <c r="F823" s="25"/>
      <c r="G823" s="104"/>
      <c r="H823" s="25"/>
      <c r="I823" s="25"/>
      <c r="J823" s="25"/>
      <c r="L823" s="25"/>
      <c r="O823" s="104"/>
      <c r="P823" s="19"/>
      <c r="Q823" s="19"/>
      <c r="R823" s="19"/>
      <c r="S823" s="19"/>
      <c r="T823" s="19"/>
      <c r="U823" s="19"/>
      <c r="V823" s="19"/>
    </row>
    <row r="824" spans="3:22" ht="15">
      <c r="C824" s="118"/>
      <c r="D824" s="25"/>
      <c r="E824" s="25"/>
      <c r="F824" s="25"/>
      <c r="G824" s="104"/>
      <c r="H824" s="25"/>
      <c r="I824" s="25"/>
      <c r="J824" s="25"/>
      <c r="L824" s="25"/>
      <c r="O824" s="104"/>
      <c r="P824" s="19"/>
      <c r="Q824" s="19"/>
      <c r="R824" s="19"/>
      <c r="S824" s="19"/>
      <c r="T824" s="19"/>
      <c r="U824" s="19"/>
      <c r="V824" s="19"/>
    </row>
    <row r="825" spans="3:22" ht="15">
      <c r="C825" s="118"/>
      <c r="D825" s="25"/>
      <c r="E825" s="25"/>
      <c r="F825" s="25"/>
      <c r="G825" s="104"/>
      <c r="H825" s="25"/>
      <c r="I825" s="25"/>
      <c r="J825" s="25"/>
      <c r="L825" s="25"/>
      <c r="O825" s="104"/>
      <c r="P825" s="19"/>
      <c r="Q825" s="19"/>
      <c r="R825" s="19"/>
      <c r="S825" s="19"/>
      <c r="T825" s="19"/>
      <c r="U825" s="19"/>
      <c r="V825" s="19"/>
    </row>
    <row r="826" spans="3:22" ht="15">
      <c r="C826" s="118"/>
      <c r="D826" s="25"/>
      <c r="E826" s="25"/>
      <c r="F826" s="25"/>
      <c r="G826" s="104"/>
      <c r="H826" s="25"/>
      <c r="I826" s="25"/>
      <c r="J826" s="25"/>
      <c r="L826" s="25"/>
      <c r="O826" s="104"/>
      <c r="P826" s="19"/>
      <c r="Q826" s="19"/>
      <c r="R826" s="19"/>
      <c r="S826" s="19"/>
      <c r="T826" s="19"/>
      <c r="U826" s="19"/>
      <c r="V826" s="19"/>
    </row>
    <row r="827" spans="3:22" ht="15">
      <c r="C827" s="118"/>
      <c r="D827" s="25"/>
      <c r="E827" s="25"/>
      <c r="F827" s="25"/>
      <c r="G827" s="104"/>
      <c r="H827" s="25"/>
      <c r="I827" s="25"/>
      <c r="J827" s="25"/>
      <c r="L827" s="25"/>
      <c r="O827" s="104"/>
      <c r="P827" s="19"/>
      <c r="Q827" s="19"/>
      <c r="R827" s="19"/>
      <c r="S827" s="19"/>
      <c r="T827" s="19"/>
      <c r="U827" s="19"/>
      <c r="V827" s="19"/>
    </row>
    <row r="828" spans="3:22" ht="15">
      <c r="C828" s="118"/>
      <c r="D828" s="25"/>
      <c r="E828" s="25"/>
      <c r="F828" s="25"/>
      <c r="G828" s="104"/>
      <c r="H828" s="25"/>
      <c r="I828" s="25"/>
      <c r="J828" s="25"/>
      <c r="L828" s="25"/>
      <c r="O828" s="104"/>
      <c r="P828" s="19"/>
      <c r="Q828" s="19"/>
      <c r="R828" s="19"/>
      <c r="S828" s="19"/>
      <c r="T828" s="19"/>
      <c r="U828" s="19"/>
      <c r="V828" s="19"/>
    </row>
    <row r="829" spans="3:22" ht="15">
      <c r="C829" s="118"/>
      <c r="D829" s="25"/>
      <c r="E829" s="25"/>
      <c r="F829" s="25"/>
      <c r="G829" s="104"/>
      <c r="H829" s="25"/>
      <c r="I829" s="25"/>
      <c r="J829" s="25"/>
      <c r="L829" s="25"/>
      <c r="O829" s="104"/>
      <c r="P829" s="19"/>
      <c r="Q829" s="19"/>
      <c r="R829" s="19"/>
      <c r="S829" s="19"/>
      <c r="T829" s="19"/>
      <c r="U829" s="19"/>
      <c r="V829" s="19"/>
    </row>
    <row r="830" spans="3:22" ht="15">
      <c r="C830" s="118"/>
      <c r="D830" s="25"/>
      <c r="E830" s="25"/>
      <c r="F830" s="25"/>
      <c r="G830" s="104"/>
      <c r="H830" s="25"/>
      <c r="I830" s="25"/>
      <c r="J830" s="25"/>
      <c r="L830" s="25"/>
      <c r="O830" s="104"/>
      <c r="P830" s="19"/>
      <c r="Q830" s="19"/>
      <c r="R830" s="19"/>
      <c r="S830" s="19"/>
      <c r="T830" s="19"/>
      <c r="U830" s="19"/>
      <c r="V830" s="19"/>
    </row>
    <row r="831" spans="3:22" ht="15">
      <c r="C831" s="118"/>
      <c r="D831" s="25"/>
      <c r="E831" s="25"/>
      <c r="F831" s="25"/>
      <c r="G831" s="104"/>
      <c r="H831" s="25"/>
      <c r="I831" s="25"/>
      <c r="J831" s="25"/>
      <c r="L831" s="25"/>
      <c r="O831" s="104"/>
      <c r="P831" s="19"/>
      <c r="Q831" s="19"/>
      <c r="R831" s="19"/>
      <c r="S831" s="19"/>
      <c r="T831" s="19"/>
      <c r="U831" s="19"/>
      <c r="V831" s="19"/>
    </row>
    <row r="832" spans="3:22" ht="15">
      <c r="C832" s="118"/>
      <c r="D832" s="25"/>
      <c r="E832" s="25"/>
      <c r="F832" s="25"/>
      <c r="G832" s="104"/>
      <c r="H832" s="25"/>
      <c r="I832" s="25"/>
      <c r="J832" s="25"/>
      <c r="L832" s="25"/>
      <c r="O832" s="104"/>
      <c r="P832" s="19"/>
      <c r="Q832" s="19"/>
      <c r="R832" s="19"/>
      <c r="S832" s="19"/>
      <c r="T832" s="19"/>
      <c r="U832" s="19"/>
      <c r="V832" s="19"/>
    </row>
    <row r="833" spans="3:22" ht="15">
      <c r="C833" s="118"/>
      <c r="D833" s="25"/>
      <c r="E833" s="25"/>
      <c r="F833" s="25"/>
      <c r="G833" s="104"/>
      <c r="H833" s="25"/>
      <c r="I833" s="25"/>
      <c r="J833" s="25"/>
      <c r="L833" s="25"/>
      <c r="O833" s="104"/>
      <c r="P833" s="19"/>
      <c r="Q833" s="19"/>
      <c r="R833" s="19"/>
      <c r="S833" s="19"/>
      <c r="T833" s="19"/>
      <c r="U833" s="19"/>
      <c r="V833" s="19"/>
    </row>
    <row r="834" spans="3:22" ht="15">
      <c r="C834" s="118"/>
      <c r="D834" s="25"/>
      <c r="E834" s="25"/>
      <c r="F834" s="25"/>
      <c r="G834" s="104"/>
      <c r="H834" s="25"/>
      <c r="I834" s="25"/>
      <c r="J834" s="25"/>
      <c r="L834" s="25"/>
      <c r="O834" s="104"/>
      <c r="P834" s="19"/>
      <c r="Q834" s="19"/>
      <c r="R834" s="19"/>
      <c r="S834" s="19"/>
      <c r="T834" s="19"/>
      <c r="U834" s="19"/>
      <c r="V834" s="19"/>
    </row>
    <row r="835" spans="3:22" ht="15">
      <c r="C835" s="118"/>
      <c r="D835" s="25"/>
      <c r="E835" s="25"/>
      <c r="F835" s="25"/>
      <c r="G835" s="104"/>
      <c r="H835" s="25"/>
      <c r="I835" s="25"/>
      <c r="J835" s="25"/>
      <c r="L835" s="25"/>
      <c r="O835" s="104"/>
      <c r="P835" s="19"/>
      <c r="Q835" s="19"/>
      <c r="R835" s="19"/>
      <c r="S835" s="19"/>
      <c r="T835" s="19"/>
      <c r="U835" s="19"/>
      <c r="V835" s="19"/>
    </row>
    <row r="836" spans="3:22" ht="15">
      <c r="C836" s="118"/>
      <c r="D836" s="25"/>
      <c r="E836" s="25"/>
      <c r="F836" s="25"/>
      <c r="G836" s="104"/>
      <c r="H836" s="25"/>
      <c r="I836" s="25"/>
      <c r="J836" s="25"/>
      <c r="L836" s="25"/>
      <c r="O836" s="104"/>
      <c r="P836" s="19"/>
      <c r="Q836" s="19"/>
      <c r="R836" s="19"/>
      <c r="S836" s="19"/>
      <c r="T836" s="19"/>
      <c r="U836" s="19"/>
      <c r="V836" s="19"/>
    </row>
    <row r="837" spans="3:22" ht="15">
      <c r="C837" s="118"/>
      <c r="D837" s="25"/>
      <c r="E837" s="25"/>
      <c r="F837" s="25"/>
      <c r="G837" s="104"/>
      <c r="H837" s="25"/>
      <c r="I837" s="25"/>
      <c r="J837" s="25"/>
      <c r="L837" s="25"/>
      <c r="O837" s="104"/>
      <c r="P837" s="19"/>
      <c r="Q837" s="19"/>
      <c r="R837" s="19"/>
      <c r="S837" s="19"/>
      <c r="T837" s="19"/>
      <c r="U837" s="19"/>
      <c r="V837" s="19"/>
    </row>
    <row r="838" spans="3:22" ht="15">
      <c r="C838" s="118"/>
      <c r="D838" s="25"/>
      <c r="E838" s="25"/>
      <c r="F838" s="25"/>
      <c r="G838" s="104"/>
      <c r="H838" s="25"/>
      <c r="I838" s="25"/>
      <c r="J838" s="25"/>
      <c r="L838" s="25"/>
      <c r="O838" s="104"/>
      <c r="P838" s="19"/>
      <c r="Q838" s="19"/>
      <c r="R838" s="19"/>
      <c r="S838" s="19"/>
      <c r="T838" s="19"/>
      <c r="U838" s="19"/>
      <c r="V838" s="19"/>
    </row>
    <row r="839" spans="3:22" ht="15">
      <c r="C839" s="118"/>
      <c r="D839" s="25"/>
      <c r="E839" s="25"/>
      <c r="F839" s="25"/>
      <c r="G839" s="104"/>
      <c r="H839" s="25"/>
      <c r="I839" s="25"/>
      <c r="J839" s="25"/>
      <c r="L839" s="25"/>
      <c r="O839" s="104"/>
      <c r="P839" s="19"/>
      <c r="Q839" s="19"/>
      <c r="R839" s="19"/>
      <c r="S839" s="19"/>
      <c r="T839" s="19"/>
      <c r="U839" s="19"/>
      <c r="V839" s="19"/>
    </row>
    <row r="840" spans="3:22" ht="15">
      <c r="C840" s="118"/>
      <c r="D840" s="25"/>
      <c r="E840" s="25"/>
      <c r="F840" s="25"/>
      <c r="G840" s="104"/>
      <c r="H840" s="25"/>
      <c r="I840" s="25"/>
      <c r="J840" s="25"/>
      <c r="L840" s="25"/>
      <c r="O840" s="104"/>
      <c r="P840" s="19"/>
      <c r="Q840" s="19"/>
      <c r="R840" s="19"/>
      <c r="S840" s="19"/>
      <c r="T840" s="19"/>
      <c r="U840" s="19"/>
      <c r="V840" s="19"/>
    </row>
    <row r="841" spans="3:22" ht="15">
      <c r="C841" s="118"/>
      <c r="D841" s="25"/>
      <c r="E841" s="25"/>
      <c r="F841" s="25"/>
      <c r="G841" s="104"/>
      <c r="H841" s="25"/>
      <c r="I841" s="25"/>
      <c r="J841" s="25"/>
      <c r="L841" s="25"/>
      <c r="O841" s="104"/>
      <c r="P841" s="19"/>
      <c r="Q841" s="19"/>
      <c r="R841" s="19"/>
      <c r="S841" s="19"/>
      <c r="T841" s="19"/>
      <c r="U841" s="19"/>
      <c r="V841" s="19"/>
    </row>
    <row r="842" spans="3:22" ht="15">
      <c r="C842" s="118"/>
      <c r="D842" s="25"/>
      <c r="E842" s="25"/>
      <c r="F842" s="25"/>
      <c r="G842" s="104"/>
      <c r="H842" s="25"/>
      <c r="I842" s="25"/>
      <c r="J842" s="25"/>
      <c r="L842" s="25"/>
      <c r="O842" s="104"/>
      <c r="P842" s="19"/>
      <c r="Q842" s="19"/>
      <c r="R842" s="19"/>
      <c r="S842" s="19"/>
      <c r="T842" s="19"/>
      <c r="U842" s="19"/>
      <c r="V842" s="19"/>
    </row>
    <row r="843" spans="3:22" ht="15">
      <c r="C843" s="118"/>
      <c r="D843" s="25"/>
      <c r="E843" s="25"/>
      <c r="F843" s="25"/>
      <c r="G843" s="104"/>
      <c r="H843" s="25"/>
      <c r="I843" s="25"/>
      <c r="J843" s="25"/>
      <c r="L843" s="25"/>
      <c r="O843" s="104"/>
      <c r="P843" s="19"/>
      <c r="Q843" s="19"/>
      <c r="R843" s="19"/>
      <c r="S843" s="19"/>
      <c r="T843" s="19"/>
      <c r="U843" s="19"/>
      <c r="V843" s="19"/>
    </row>
    <row r="844" spans="3:22" ht="15">
      <c r="C844" s="118"/>
      <c r="D844" s="25"/>
      <c r="E844" s="25"/>
      <c r="F844" s="25"/>
      <c r="G844" s="104"/>
      <c r="H844" s="25"/>
      <c r="I844" s="25"/>
      <c r="J844" s="25"/>
      <c r="L844" s="25"/>
      <c r="O844" s="104"/>
      <c r="P844" s="19"/>
      <c r="Q844" s="19"/>
      <c r="R844" s="19"/>
      <c r="S844" s="19"/>
      <c r="T844" s="19"/>
      <c r="U844" s="19"/>
      <c r="V844" s="19"/>
    </row>
    <row r="845" spans="3:22" ht="15">
      <c r="C845" s="118"/>
      <c r="D845" s="25"/>
      <c r="E845" s="25"/>
      <c r="F845" s="25"/>
      <c r="G845" s="104"/>
      <c r="H845" s="25"/>
      <c r="I845" s="25"/>
      <c r="J845" s="25"/>
      <c r="L845" s="25"/>
      <c r="O845" s="104"/>
      <c r="P845" s="19"/>
      <c r="Q845" s="19"/>
      <c r="R845" s="19"/>
      <c r="S845" s="19"/>
      <c r="T845" s="19"/>
      <c r="U845" s="19"/>
      <c r="V845" s="19"/>
    </row>
    <row r="846" spans="3:22" ht="15">
      <c r="C846" s="118"/>
      <c r="D846" s="25"/>
      <c r="E846" s="25"/>
      <c r="F846" s="25"/>
      <c r="G846" s="104"/>
      <c r="H846" s="25"/>
      <c r="I846" s="25"/>
      <c r="J846" s="25"/>
      <c r="L846" s="25"/>
      <c r="O846" s="104"/>
      <c r="P846" s="19"/>
      <c r="Q846" s="19"/>
      <c r="R846" s="19"/>
      <c r="S846" s="19"/>
      <c r="T846" s="19"/>
      <c r="U846" s="19"/>
      <c r="V846" s="19"/>
    </row>
    <row r="847" spans="3:22" ht="15">
      <c r="C847" s="118"/>
      <c r="D847" s="25"/>
      <c r="E847" s="25"/>
      <c r="F847" s="25"/>
      <c r="G847" s="104"/>
      <c r="H847" s="25"/>
      <c r="I847" s="25"/>
      <c r="J847" s="25"/>
      <c r="L847" s="25"/>
      <c r="O847" s="104"/>
      <c r="P847" s="19"/>
      <c r="Q847" s="19"/>
      <c r="R847" s="19"/>
      <c r="S847" s="19"/>
      <c r="T847" s="19"/>
      <c r="U847" s="19"/>
      <c r="V847" s="19"/>
    </row>
    <row r="848" spans="3:22" ht="15">
      <c r="C848" s="118"/>
      <c r="D848" s="25"/>
      <c r="E848" s="25"/>
      <c r="F848" s="25"/>
      <c r="G848" s="104"/>
      <c r="H848" s="25"/>
      <c r="I848" s="25"/>
      <c r="J848" s="25"/>
      <c r="L848" s="25"/>
      <c r="O848" s="104"/>
      <c r="P848" s="19"/>
      <c r="Q848" s="19"/>
      <c r="R848" s="19"/>
      <c r="S848" s="19"/>
      <c r="T848" s="19"/>
      <c r="U848" s="19"/>
      <c r="V848" s="19"/>
    </row>
    <row r="849" spans="3:22" ht="15">
      <c r="C849" s="118"/>
      <c r="D849" s="25"/>
      <c r="E849" s="25"/>
      <c r="F849" s="25"/>
      <c r="G849" s="104"/>
      <c r="H849" s="25"/>
      <c r="I849" s="25"/>
      <c r="J849" s="25"/>
      <c r="L849" s="25"/>
      <c r="O849" s="104"/>
      <c r="P849" s="19"/>
      <c r="Q849" s="19"/>
      <c r="R849" s="19"/>
      <c r="S849" s="19"/>
      <c r="T849" s="19"/>
      <c r="U849" s="19"/>
      <c r="V849" s="19"/>
    </row>
    <row r="850" spans="3:22" ht="15">
      <c r="C850" s="118"/>
      <c r="D850" s="25"/>
      <c r="E850" s="25"/>
      <c r="F850" s="25"/>
      <c r="G850" s="104"/>
      <c r="H850" s="25"/>
      <c r="I850" s="25"/>
      <c r="J850" s="25"/>
      <c r="L850" s="25"/>
      <c r="O850" s="104"/>
      <c r="P850" s="19"/>
      <c r="Q850" s="19"/>
      <c r="R850" s="19"/>
      <c r="S850" s="19"/>
      <c r="T850" s="19"/>
      <c r="U850" s="19"/>
      <c r="V850" s="19"/>
    </row>
    <row r="851" spans="3:22" ht="15">
      <c r="C851" s="118"/>
      <c r="D851" s="25"/>
      <c r="E851" s="25"/>
      <c r="F851" s="25"/>
      <c r="G851" s="104"/>
      <c r="H851" s="25"/>
      <c r="I851" s="25"/>
      <c r="J851" s="25"/>
      <c r="L851" s="25"/>
      <c r="O851" s="104"/>
      <c r="P851" s="19"/>
      <c r="Q851" s="19"/>
      <c r="R851" s="19"/>
      <c r="S851" s="19"/>
      <c r="T851" s="19"/>
      <c r="U851" s="19"/>
      <c r="V851" s="19"/>
    </row>
    <row r="852" spans="3:22" ht="15">
      <c r="C852" s="118"/>
      <c r="D852" s="25"/>
      <c r="E852" s="25"/>
      <c r="F852" s="25"/>
      <c r="G852" s="104"/>
      <c r="H852" s="25"/>
      <c r="I852" s="25"/>
      <c r="J852" s="25"/>
      <c r="L852" s="25"/>
      <c r="O852" s="104"/>
      <c r="P852" s="19"/>
      <c r="Q852" s="19"/>
      <c r="R852" s="19"/>
      <c r="S852" s="19"/>
      <c r="T852" s="19"/>
      <c r="U852" s="19"/>
      <c r="V852" s="19"/>
    </row>
    <row r="853" spans="3:22" ht="15">
      <c r="C853" s="118"/>
      <c r="D853" s="25"/>
      <c r="E853" s="25"/>
      <c r="F853" s="25"/>
      <c r="G853" s="104"/>
      <c r="H853" s="25"/>
      <c r="I853" s="25"/>
      <c r="J853" s="25"/>
      <c r="L853" s="25"/>
      <c r="O853" s="104"/>
      <c r="P853" s="19"/>
      <c r="Q853" s="19"/>
      <c r="R853" s="19"/>
      <c r="S853" s="19"/>
      <c r="T853" s="19"/>
      <c r="U853" s="19"/>
      <c r="V853" s="19"/>
    </row>
    <row r="854" spans="3:22" ht="15">
      <c r="C854" s="118"/>
      <c r="D854" s="25"/>
      <c r="E854" s="25"/>
      <c r="F854" s="25"/>
      <c r="G854" s="104"/>
      <c r="H854" s="25"/>
      <c r="I854" s="25"/>
      <c r="J854" s="25"/>
      <c r="L854" s="25"/>
      <c r="O854" s="104"/>
      <c r="P854" s="19"/>
      <c r="Q854" s="19"/>
      <c r="R854" s="19"/>
      <c r="S854" s="19"/>
      <c r="T854" s="19"/>
      <c r="U854" s="19"/>
      <c r="V854" s="19"/>
    </row>
    <row r="855" spans="3:22" ht="15">
      <c r="C855" s="118"/>
      <c r="D855" s="25"/>
      <c r="E855" s="25"/>
      <c r="F855" s="25"/>
      <c r="G855" s="104"/>
      <c r="H855" s="25"/>
      <c r="I855" s="25"/>
      <c r="J855" s="25"/>
      <c r="L855" s="25"/>
      <c r="O855" s="104"/>
      <c r="P855" s="19"/>
      <c r="Q855" s="19"/>
      <c r="R855" s="19"/>
      <c r="S855" s="19"/>
      <c r="T855" s="19"/>
      <c r="U855" s="19"/>
      <c r="V855" s="19"/>
    </row>
    <row r="856" spans="3:22" ht="15">
      <c r="C856" s="118"/>
      <c r="D856" s="25"/>
      <c r="E856" s="25"/>
      <c r="F856" s="25"/>
      <c r="G856" s="104"/>
      <c r="H856" s="25"/>
      <c r="I856" s="25"/>
      <c r="J856" s="25"/>
      <c r="L856" s="25"/>
      <c r="O856" s="104"/>
      <c r="P856" s="19"/>
      <c r="Q856" s="19"/>
      <c r="R856" s="19"/>
      <c r="S856" s="19"/>
      <c r="T856" s="19"/>
      <c r="U856" s="19"/>
      <c r="V856" s="19"/>
    </row>
    <row r="857" spans="3:22" ht="15">
      <c r="C857" s="118"/>
      <c r="D857" s="25"/>
      <c r="E857" s="25"/>
      <c r="F857" s="25"/>
      <c r="G857" s="104"/>
      <c r="H857" s="25"/>
      <c r="I857" s="25"/>
      <c r="J857" s="25"/>
      <c r="L857" s="25"/>
      <c r="O857" s="104"/>
      <c r="P857" s="19"/>
      <c r="Q857" s="19"/>
      <c r="R857" s="19"/>
      <c r="S857" s="19"/>
      <c r="T857" s="19"/>
      <c r="U857" s="19"/>
      <c r="V857" s="19"/>
    </row>
    <row r="858" spans="3:22" ht="15">
      <c r="C858" s="118"/>
      <c r="D858" s="25"/>
      <c r="E858" s="25"/>
      <c r="F858" s="25"/>
      <c r="G858" s="104"/>
      <c r="H858" s="25"/>
      <c r="I858" s="25"/>
      <c r="J858" s="25"/>
      <c r="L858" s="25"/>
      <c r="O858" s="104"/>
      <c r="P858" s="19"/>
      <c r="Q858" s="19"/>
      <c r="R858" s="19"/>
      <c r="S858" s="19"/>
      <c r="T858" s="19"/>
      <c r="U858" s="19"/>
      <c r="V858" s="19"/>
    </row>
    <row r="859" spans="3:22" ht="15">
      <c r="C859" s="118"/>
      <c r="D859" s="25"/>
      <c r="E859" s="25"/>
      <c r="F859" s="25"/>
      <c r="G859" s="104"/>
      <c r="H859" s="25"/>
      <c r="I859" s="25"/>
      <c r="J859" s="25"/>
      <c r="L859" s="25"/>
      <c r="O859" s="104"/>
      <c r="P859" s="19"/>
      <c r="Q859" s="19"/>
      <c r="R859" s="19"/>
      <c r="S859" s="19"/>
      <c r="T859" s="19"/>
      <c r="U859" s="19"/>
      <c r="V859" s="19"/>
    </row>
    <row r="860" spans="3:22" ht="15">
      <c r="C860" s="118"/>
      <c r="D860" s="25"/>
      <c r="E860" s="25"/>
      <c r="F860" s="25"/>
      <c r="G860" s="104"/>
      <c r="H860" s="25"/>
      <c r="I860" s="25"/>
      <c r="J860" s="25"/>
      <c r="L860" s="25"/>
      <c r="O860" s="104"/>
      <c r="P860" s="19"/>
      <c r="Q860" s="19"/>
      <c r="R860" s="19"/>
      <c r="S860" s="19"/>
      <c r="T860" s="19"/>
      <c r="U860" s="19"/>
      <c r="V860" s="19"/>
    </row>
    <row r="861" spans="3:22" ht="15">
      <c r="C861" s="118"/>
      <c r="D861" s="25"/>
      <c r="E861" s="25"/>
      <c r="F861" s="25"/>
      <c r="G861" s="104"/>
      <c r="H861" s="25"/>
      <c r="I861" s="25"/>
      <c r="J861" s="25"/>
      <c r="L861" s="25"/>
      <c r="O861" s="104"/>
      <c r="P861" s="19"/>
      <c r="Q861" s="19"/>
      <c r="R861" s="19"/>
      <c r="S861" s="19"/>
      <c r="T861" s="19"/>
      <c r="U861" s="19"/>
      <c r="V861" s="19"/>
    </row>
    <row r="862" spans="3:22" ht="15">
      <c r="C862" s="118"/>
      <c r="D862" s="25"/>
      <c r="E862" s="25"/>
      <c r="F862" s="25"/>
      <c r="G862" s="104"/>
      <c r="H862" s="25"/>
      <c r="I862" s="25"/>
      <c r="J862" s="25"/>
      <c r="L862" s="25"/>
      <c r="O862" s="104"/>
      <c r="P862" s="19"/>
      <c r="Q862" s="19"/>
      <c r="R862" s="19"/>
      <c r="S862" s="19"/>
      <c r="T862" s="19"/>
      <c r="U862" s="19"/>
      <c r="V862" s="19"/>
    </row>
    <row r="863" spans="3:22" ht="15">
      <c r="C863" s="118"/>
      <c r="D863" s="25"/>
      <c r="E863" s="25"/>
      <c r="F863" s="25"/>
      <c r="G863" s="104"/>
      <c r="H863" s="25"/>
      <c r="I863" s="25"/>
      <c r="J863" s="25"/>
      <c r="L863" s="25"/>
      <c r="O863" s="104"/>
      <c r="P863" s="19"/>
      <c r="Q863" s="19"/>
      <c r="R863" s="19"/>
      <c r="S863" s="19"/>
      <c r="T863" s="19"/>
      <c r="U863" s="19"/>
      <c r="V863" s="19"/>
    </row>
    <row r="864" spans="3:22" ht="15">
      <c r="C864" s="118"/>
      <c r="D864" s="25"/>
      <c r="E864" s="25"/>
      <c r="F864" s="25"/>
      <c r="G864" s="104"/>
      <c r="H864" s="25"/>
      <c r="I864" s="25"/>
      <c r="J864" s="25"/>
      <c r="L864" s="25"/>
      <c r="O864" s="104"/>
      <c r="P864" s="19"/>
      <c r="Q864" s="19"/>
      <c r="R864" s="19"/>
      <c r="S864" s="19"/>
      <c r="T864" s="19"/>
      <c r="U864" s="19"/>
      <c r="V864" s="19"/>
    </row>
    <row r="865" spans="3:22" ht="15">
      <c r="C865" s="118"/>
      <c r="D865" s="25"/>
      <c r="E865" s="25"/>
      <c r="F865" s="25"/>
      <c r="G865" s="104"/>
      <c r="H865" s="25"/>
      <c r="I865" s="25"/>
      <c r="J865" s="25"/>
      <c r="L865" s="25"/>
      <c r="O865" s="104"/>
      <c r="P865" s="19"/>
      <c r="Q865" s="19"/>
      <c r="R865" s="19"/>
      <c r="S865" s="19"/>
      <c r="T865" s="19"/>
      <c r="U865" s="19"/>
      <c r="V865" s="19"/>
    </row>
    <row r="866" spans="3:22" ht="15">
      <c r="C866" s="118"/>
      <c r="D866" s="25"/>
      <c r="E866" s="25"/>
      <c r="F866" s="25"/>
      <c r="G866" s="104"/>
      <c r="H866" s="25"/>
      <c r="I866" s="25"/>
      <c r="J866" s="25"/>
      <c r="L866" s="25"/>
      <c r="O866" s="104"/>
      <c r="P866" s="19"/>
      <c r="Q866" s="19"/>
      <c r="R866" s="19"/>
      <c r="S866" s="19"/>
      <c r="T866" s="19"/>
      <c r="U866" s="19"/>
      <c r="V866" s="19"/>
    </row>
    <row r="867" spans="3:22" ht="15">
      <c r="C867" s="118"/>
      <c r="D867" s="25"/>
      <c r="E867" s="25"/>
      <c r="F867" s="25"/>
      <c r="G867" s="104"/>
      <c r="H867" s="25"/>
      <c r="I867" s="25"/>
      <c r="J867" s="25"/>
      <c r="L867" s="25"/>
      <c r="O867" s="104"/>
      <c r="P867" s="19"/>
      <c r="Q867" s="19"/>
      <c r="R867" s="19"/>
      <c r="S867" s="19"/>
      <c r="T867" s="19"/>
      <c r="U867" s="19"/>
      <c r="V867" s="19"/>
    </row>
    <row r="868" spans="3:22" ht="15">
      <c r="C868" s="118"/>
      <c r="D868" s="25"/>
      <c r="E868" s="25"/>
      <c r="F868" s="25"/>
      <c r="G868" s="104"/>
      <c r="H868" s="25"/>
      <c r="I868" s="25"/>
      <c r="J868" s="25"/>
      <c r="L868" s="25"/>
      <c r="O868" s="104"/>
      <c r="P868" s="19"/>
      <c r="Q868" s="19"/>
      <c r="R868" s="19"/>
      <c r="S868" s="19"/>
      <c r="T868" s="19"/>
      <c r="U868" s="19"/>
      <c r="V868" s="19"/>
    </row>
    <row r="869" spans="3:22" ht="15">
      <c r="C869" s="118"/>
      <c r="D869" s="25"/>
      <c r="E869" s="25"/>
      <c r="F869" s="25"/>
      <c r="G869" s="104"/>
      <c r="H869" s="25"/>
      <c r="I869" s="25"/>
      <c r="J869" s="25"/>
      <c r="L869" s="25"/>
      <c r="O869" s="104"/>
      <c r="P869" s="19"/>
      <c r="Q869" s="19"/>
      <c r="R869" s="19"/>
      <c r="S869" s="19"/>
      <c r="T869" s="19"/>
      <c r="U869" s="19"/>
      <c r="V869" s="19"/>
    </row>
    <row r="870" spans="3:22" ht="15">
      <c r="C870" s="118"/>
      <c r="D870" s="25"/>
      <c r="E870" s="25"/>
      <c r="F870" s="25"/>
      <c r="G870" s="104"/>
      <c r="H870" s="25"/>
      <c r="I870" s="25"/>
      <c r="J870" s="25"/>
      <c r="L870" s="25"/>
      <c r="O870" s="104"/>
      <c r="P870" s="19"/>
      <c r="Q870" s="19"/>
      <c r="R870" s="19"/>
      <c r="S870" s="19"/>
      <c r="T870" s="19"/>
      <c r="U870" s="19"/>
      <c r="V870" s="19"/>
    </row>
    <row r="871" spans="3:22" ht="15">
      <c r="C871" s="118"/>
      <c r="D871" s="25"/>
      <c r="E871" s="25"/>
      <c r="F871" s="25"/>
      <c r="G871" s="104"/>
      <c r="H871" s="25"/>
      <c r="I871" s="25"/>
      <c r="J871" s="25"/>
      <c r="L871" s="25"/>
      <c r="O871" s="104"/>
      <c r="P871" s="19"/>
      <c r="Q871" s="19"/>
      <c r="R871" s="19"/>
      <c r="S871" s="19"/>
      <c r="T871" s="19"/>
      <c r="U871" s="19"/>
      <c r="V871" s="19"/>
    </row>
    <row r="872" spans="3:22" ht="15">
      <c r="C872" s="118"/>
      <c r="D872" s="25"/>
      <c r="E872" s="25"/>
      <c r="F872" s="25"/>
      <c r="G872" s="104"/>
      <c r="H872" s="25"/>
      <c r="I872" s="25"/>
      <c r="J872" s="25"/>
      <c r="L872" s="25"/>
      <c r="O872" s="104"/>
      <c r="P872" s="19"/>
      <c r="Q872" s="19"/>
      <c r="R872" s="19"/>
      <c r="S872" s="19"/>
      <c r="T872" s="19"/>
      <c r="U872" s="19"/>
      <c r="V872" s="19"/>
    </row>
    <row r="873" spans="3:22" ht="15">
      <c r="C873" s="118"/>
      <c r="D873" s="25"/>
      <c r="E873" s="25"/>
      <c r="F873" s="25"/>
      <c r="G873" s="104"/>
      <c r="H873" s="25"/>
      <c r="I873" s="25"/>
      <c r="J873" s="25"/>
      <c r="L873" s="25"/>
      <c r="O873" s="104"/>
      <c r="P873" s="19"/>
      <c r="Q873" s="19"/>
      <c r="R873" s="19"/>
      <c r="S873" s="19"/>
      <c r="T873" s="19"/>
      <c r="U873" s="19"/>
      <c r="V873" s="19"/>
    </row>
    <row r="874" spans="3:22" ht="15">
      <c r="C874" s="118"/>
      <c r="D874" s="25"/>
      <c r="E874" s="25"/>
      <c r="F874" s="25"/>
      <c r="G874" s="104"/>
      <c r="H874" s="25"/>
      <c r="I874" s="25"/>
      <c r="J874" s="25"/>
      <c r="L874" s="25"/>
      <c r="O874" s="104"/>
      <c r="P874" s="19"/>
      <c r="Q874" s="19"/>
      <c r="R874" s="19"/>
      <c r="S874" s="19"/>
      <c r="T874" s="19"/>
      <c r="U874" s="19"/>
      <c r="V874" s="19"/>
    </row>
    <row r="875" spans="3:22" ht="15">
      <c r="C875" s="118"/>
      <c r="D875" s="25"/>
      <c r="E875" s="25"/>
      <c r="F875" s="25"/>
      <c r="G875" s="104"/>
      <c r="H875" s="25"/>
      <c r="I875" s="25"/>
      <c r="J875" s="25"/>
      <c r="L875" s="25"/>
      <c r="O875" s="104"/>
      <c r="P875" s="19"/>
      <c r="Q875" s="19"/>
      <c r="R875" s="19"/>
      <c r="S875" s="19"/>
      <c r="T875" s="19"/>
      <c r="U875" s="19"/>
      <c r="V875" s="19"/>
    </row>
    <row r="876" spans="3:22" ht="15">
      <c r="C876" s="118"/>
      <c r="D876" s="25"/>
      <c r="E876" s="25"/>
      <c r="F876" s="25"/>
      <c r="G876" s="104"/>
      <c r="H876" s="25"/>
      <c r="I876" s="25"/>
      <c r="J876" s="25"/>
      <c r="L876" s="25"/>
      <c r="O876" s="104"/>
      <c r="P876" s="19"/>
      <c r="Q876" s="19"/>
      <c r="R876" s="19"/>
      <c r="S876" s="19"/>
      <c r="T876" s="19"/>
      <c r="U876" s="19"/>
      <c r="V876" s="19"/>
    </row>
    <row r="877" spans="3:22" ht="15">
      <c r="C877" s="118"/>
      <c r="D877" s="25"/>
      <c r="E877" s="25"/>
      <c r="F877" s="25"/>
      <c r="G877" s="104"/>
      <c r="H877" s="25"/>
      <c r="I877" s="25"/>
      <c r="J877" s="25"/>
      <c r="L877" s="25"/>
      <c r="O877" s="104"/>
      <c r="P877" s="19"/>
      <c r="Q877" s="19"/>
      <c r="R877" s="19"/>
      <c r="S877" s="19"/>
      <c r="T877" s="19"/>
      <c r="U877" s="19"/>
      <c r="V877" s="19"/>
    </row>
    <row r="878" spans="3:22" ht="15">
      <c r="C878" s="118"/>
      <c r="D878" s="25"/>
      <c r="E878" s="25"/>
      <c r="F878" s="25"/>
      <c r="G878" s="104"/>
      <c r="H878" s="25"/>
      <c r="I878" s="25"/>
      <c r="J878" s="25"/>
      <c r="L878" s="25"/>
      <c r="O878" s="104"/>
      <c r="P878" s="19"/>
      <c r="Q878" s="19"/>
      <c r="R878" s="19"/>
      <c r="S878" s="19"/>
      <c r="T878" s="19"/>
      <c r="U878" s="19"/>
      <c r="V878" s="19"/>
    </row>
    <row r="879" spans="3:22" ht="15">
      <c r="C879" s="118"/>
      <c r="D879" s="25"/>
      <c r="E879" s="25"/>
      <c r="F879" s="25"/>
      <c r="G879" s="104"/>
      <c r="H879" s="25"/>
      <c r="I879" s="25"/>
      <c r="J879" s="25"/>
      <c r="L879" s="25"/>
      <c r="O879" s="104"/>
      <c r="P879" s="19"/>
      <c r="Q879" s="19"/>
      <c r="R879" s="19"/>
      <c r="S879" s="19"/>
      <c r="T879" s="19"/>
      <c r="U879" s="19"/>
      <c r="V879" s="19"/>
    </row>
    <row r="880" spans="3:22" ht="15">
      <c r="C880" s="118"/>
      <c r="D880" s="25"/>
      <c r="E880" s="25"/>
      <c r="F880" s="25"/>
      <c r="G880" s="104"/>
      <c r="H880" s="25"/>
      <c r="I880" s="25"/>
      <c r="J880" s="25"/>
      <c r="L880" s="25"/>
      <c r="O880" s="104"/>
      <c r="P880" s="19"/>
      <c r="Q880" s="19"/>
      <c r="R880" s="19"/>
      <c r="S880" s="19"/>
      <c r="T880" s="19"/>
      <c r="U880" s="19"/>
      <c r="V880" s="19"/>
    </row>
    <row r="881" spans="3:22" ht="15">
      <c r="C881" s="118"/>
      <c r="D881" s="25"/>
      <c r="E881" s="25"/>
      <c r="F881" s="25"/>
      <c r="G881" s="104"/>
      <c r="H881" s="25"/>
      <c r="I881" s="25"/>
      <c r="J881" s="25"/>
      <c r="L881" s="25"/>
      <c r="O881" s="104"/>
      <c r="P881" s="19"/>
      <c r="Q881" s="19"/>
      <c r="R881" s="19"/>
      <c r="S881" s="19"/>
      <c r="T881" s="19"/>
      <c r="U881" s="19"/>
      <c r="V881" s="19"/>
    </row>
    <row r="882" spans="3:22" ht="15">
      <c r="C882" s="118"/>
      <c r="D882" s="25"/>
      <c r="E882" s="25"/>
      <c r="F882" s="25"/>
      <c r="G882" s="104"/>
      <c r="H882" s="25"/>
      <c r="I882" s="25"/>
      <c r="J882" s="25"/>
      <c r="L882" s="25"/>
      <c r="O882" s="104"/>
      <c r="P882" s="19"/>
      <c r="Q882" s="19"/>
      <c r="R882" s="19"/>
      <c r="S882" s="19"/>
      <c r="T882" s="19"/>
      <c r="U882" s="19"/>
      <c r="V882" s="19"/>
    </row>
    <row r="883" spans="3:22" ht="15">
      <c r="C883" s="118"/>
      <c r="D883" s="25"/>
      <c r="E883" s="25"/>
      <c r="F883" s="25"/>
      <c r="G883" s="104"/>
      <c r="H883" s="25"/>
      <c r="I883" s="25"/>
      <c r="J883" s="25"/>
      <c r="L883" s="25"/>
      <c r="O883" s="104"/>
      <c r="P883" s="19"/>
      <c r="Q883" s="19"/>
      <c r="R883" s="19"/>
      <c r="S883" s="19"/>
      <c r="T883" s="19"/>
      <c r="U883" s="19"/>
      <c r="V883" s="19"/>
    </row>
    <row r="884" spans="3:22" ht="15">
      <c r="C884" s="118"/>
      <c r="D884" s="25"/>
      <c r="E884" s="25"/>
      <c r="F884" s="25"/>
      <c r="G884" s="104"/>
      <c r="H884" s="25"/>
      <c r="I884" s="25"/>
      <c r="J884" s="25"/>
      <c r="L884" s="25"/>
      <c r="O884" s="104"/>
      <c r="P884" s="19"/>
      <c r="Q884" s="19"/>
      <c r="R884" s="19"/>
      <c r="S884" s="19"/>
      <c r="T884" s="19"/>
      <c r="U884" s="19"/>
      <c r="V884" s="19"/>
    </row>
    <row r="885" spans="3:22" ht="15">
      <c r="C885" s="118"/>
      <c r="D885" s="25"/>
      <c r="E885" s="25"/>
      <c r="F885" s="25"/>
      <c r="G885" s="104"/>
      <c r="H885" s="25"/>
      <c r="I885" s="25"/>
      <c r="J885" s="25"/>
      <c r="L885" s="25"/>
      <c r="O885" s="104"/>
      <c r="P885" s="19"/>
      <c r="Q885" s="19"/>
      <c r="R885" s="19"/>
      <c r="S885" s="19"/>
      <c r="T885" s="19"/>
      <c r="U885" s="19"/>
      <c r="V885" s="19"/>
    </row>
    <row r="886" spans="3:22" ht="15">
      <c r="C886" s="118"/>
      <c r="D886" s="25"/>
      <c r="E886" s="25"/>
      <c r="F886" s="25"/>
      <c r="G886" s="104"/>
      <c r="H886" s="25"/>
      <c r="I886" s="25"/>
      <c r="J886" s="25"/>
      <c r="L886" s="25"/>
      <c r="O886" s="104"/>
      <c r="P886" s="19"/>
      <c r="Q886" s="19"/>
      <c r="R886" s="19"/>
      <c r="S886" s="19"/>
      <c r="T886" s="19"/>
      <c r="U886" s="19"/>
      <c r="V886" s="19"/>
    </row>
    <row r="887" spans="3:22" ht="15">
      <c r="C887" s="118"/>
      <c r="D887" s="25"/>
      <c r="E887" s="25"/>
      <c r="F887" s="25"/>
      <c r="G887" s="104"/>
      <c r="H887" s="25"/>
      <c r="I887" s="25"/>
      <c r="J887" s="25"/>
      <c r="L887" s="25"/>
      <c r="O887" s="104"/>
      <c r="P887" s="19"/>
      <c r="Q887" s="19"/>
      <c r="R887" s="19"/>
      <c r="S887" s="19"/>
      <c r="T887" s="19"/>
      <c r="U887" s="19"/>
      <c r="V887" s="19"/>
    </row>
    <row r="888" spans="3:22" ht="15">
      <c r="C888" s="118"/>
      <c r="D888" s="25"/>
      <c r="E888" s="25"/>
      <c r="F888" s="25"/>
      <c r="G888" s="104"/>
      <c r="H888" s="25"/>
      <c r="I888" s="25"/>
      <c r="J888" s="25"/>
      <c r="L888" s="25"/>
      <c r="O888" s="104"/>
      <c r="P888" s="19"/>
      <c r="Q888" s="19"/>
      <c r="R888" s="19"/>
      <c r="S888" s="19"/>
      <c r="T888" s="19"/>
      <c r="U888" s="19"/>
      <c r="V888" s="19"/>
    </row>
    <row r="889" spans="3:22" ht="15">
      <c r="C889" s="118"/>
      <c r="D889" s="25"/>
      <c r="E889" s="25"/>
      <c r="F889" s="25"/>
      <c r="G889" s="104"/>
      <c r="H889" s="25"/>
      <c r="I889" s="25"/>
      <c r="J889" s="25"/>
      <c r="L889" s="25"/>
      <c r="O889" s="104"/>
      <c r="P889" s="19"/>
      <c r="Q889" s="19"/>
      <c r="R889" s="19"/>
      <c r="S889" s="19"/>
      <c r="T889" s="19"/>
      <c r="U889" s="19"/>
      <c r="V889" s="19"/>
    </row>
    <row r="890" spans="3:22" ht="15">
      <c r="C890" s="118"/>
      <c r="D890" s="25"/>
      <c r="E890" s="25"/>
      <c r="F890" s="25"/>
      <c r="G890" s="104"/>
      <c r="H890" s="25"/>
      <c r="I890" s="25"/>
      <c r="J890" s="25"/>
      <c r="L890" s="25"/>
      <c r="O890" s="104"/>
      <c r="P890" s="19"/>
      <c r="Q890" s="19"/>
      <c r="R890" s="19"/>
      <c r="S890" s="19"/>
      <c r="T890" s="19"/>
      <c r="U890" s="19"/>
      <c r="V890" s="19"/>
    </row>
    <row r="891" spans="3:22" ht="15">
      <c r="C891" s="118"/>
      <c r="D891" s="25"/>
      <c r="E891" s="25"/>
      <c r="F891" s="25"/>
      <c r="G891" s="104"/>
      <c r="H891" s="25"/>
      <c r="I891" s="25"/>
      <c r="J891" s="25"/>
      <c r="L891" s="25"/>
      <c r="O891" s="104"/>
      <c r="P891" s="19"/>
      <c r="Q891" s="19"/>
      <c r="R891" s="19"/>
      <c r="S891" s="19"/>
      <c r="T891" s="19"/>
      <c r="U891" s="19"/>
      <c r="V891" s="19"/>
    </row>
    <row r="892" spans="3:22" ht="15">
      <c r="C892" s="118"/>
      <c r="D892" s="25"/>
      <c r="E892" s="25"/>
      <c r="F892" s="25"/>
      <c r="G892" s="104"/>
      <c r="H892" s="25"/>
      <c r="I892" s="25"/>
      <c r="J892" s="25"/>
      <c r="L892" s="25"/>
      <c r="O892" s="104"/>
      <c r="P892" s="19"/>
      <c r="Q892" s="19"/>
      <c r="R892" s="19"/>
      <c r="S892" s="19"/>
      <c r="T892" s="19"/>
      <c r="U892" s="19"/>
      <c r="V892" s="19"/>
    </row>
    <row r="893" spans="3:22" ht="15">
      <c r="C893" s="118"/>
      <c r="D893" s="25"/>
      <c r="E893" s="25"/>
      <c r="F893" s="25"/>
      <c r="G893" s="104"/>
      <c r="H893" s="25"/>
      <c r="I893" s="25"/>
      <c r="J893" s="25"/>
      <c r="L893" s="25"/>
      <c r="O893" s="104"/>
      <c r="P893" s="19"/>
      <c r="Q893" s="19"/>
      <c r="R893" s="19"/>
      <c r="S893" s="19"/>
      <c r="T893" s="19"/>
      <c r="U893" s="19"/>
      <c r="V893" s="19"/>
    </row>
    <row r="894" spans="3:22" ht="15">
      <c r="C894" s="118"/>
      <c r="D894" s="25"/>
      <c r="E894" s="25"/>
      <c r="F894" s="25"/>
      <c r="G894" s="104"/>
      <c r="H894" s="25"/>
      <c r="I894" s="25"/>
      <c r="J894" s="25"/>
      <c r="L894" s="25"/>
      <c r="O894" s="104"/>
      <c r="P894" s="19"/>
      <c r="Q894" s="19"/>
      <c r="R894" s="19"/>
      <c r="S894" s="19"/>
      <c r="T894" s="19"/>
      <c r="U894" s="19"/>
      <c r="V894" s="19"/>
    </row>
    <row r="895" spans="3:22" ht="15">
      <c r="C895" s="118"/>
      <c r="D895" s="25"/>
      <c r="E895" s="25"/>
      <c r="F895" s="25"/>
      <c r="G895" s="104"/>
      <c r="H895" s="25"/>
      <c r="I895" s="25"/>
      <c r="J895" s="25"/>
      <c r="L895" s="25"/>
      <c r="O895" s="104"/>
      <c r="P895" s="19"/>
      <c r="Q895" s="19"/>
      <c r="R895" s="19"/>
      <c r="S895" s="19"/>
      <c r="T895" s="19"/>
      <c r="U895" s="19"/>
      <c r="V895" s="19"/>
    </row>
    <row r="896" spans="3:22" ht="15">
      <c r="C896" s="118"/>
      <c r="D896" s="25"/>
      <c r="E896" s="25"/>
      <c r="F896" s="25"/>
      <c r="G896" s="104"/>
      <c r="H896" s="25"/>
      <c r="I896" s="25"/>
      <c r="J896" s="25"/>
      <c r="L896" s="25"/>
      <c r="O896" s="104"/>
      <c r="P896" s="19"/>
      <c r="Q896" s="19"/>
      <c r="R896" s="19"/>
      <c r="S896" s="19"/>
      <c r="T896" s="19"/>
      <c r="U896" s="19"/>
      <c r="V896" s="19"/>
    </row>
    <row r="897" spans="3:22" ht="15">
      <c r="C897" s="118"/>
      <c r="D897" s="25"/>
      <c r="E897" s="25"/>
      <c r="F897" s="25"/>
      <c r="G897" s="104"/>
      <c r="H897" s="25"/>
      <c r="I897" s="25"/>
      <c r="J897" s="25"/>
      <c r="L897" s="25"/>
      <c r="O897" s="104"/>
      <c r="P897" s="19"/>
      <c r="Q897" s="19"/>
      <c r="R897" s="19"/>
      <c r="S897" s="19"/>
      <c r="T897" s="19"/>
      <c r="U897" s="19"/>
      <c r="V897" s="19"/>
    </row>
    <row r="898" spans="3:22" ht="15">
      <c r="C898" s="118"/>
      <c r="D898" s="25"/>
      <c r="E898" s="25"/>
      <c r="F898" s="25"/>
      <c r="G898" s="104"/>
      <c r="H898" s="25"/>
      <c r="I898" s="25"/>
      <c r="J898" s="25"/>
      <c r="L898" s="25"/>
      <c r="O898" s="104"/>
      <c r="P898" s="19"/>
      <c r="Q898" s="19"/>
      <c r="R898" s="19"/>
      <c r="S898" s="19"/>
      <c r="T898" s="19"/>
      <c r="U898" s="19"/>
      <c r="V898" s="19"/>
    </row>
    <row r="899" spans="3:22" ht="15">
      <c r="C899" s="118"/>
      <c r="D899" s="25"/>
      <c r="E899" s="25"/>
      <c r="F899" s="25"/>
      <c r="G899" s="104"/>
      <c r="H899" s="25"/>
      <c r="I899" s="25"/>
      <c r="J899" s="25"/>
      <c r="L899" s="25"/>
      <c r="O899" s="104"/>
      <c r="P899" s="19"/>
      <c r="Q899" s="19"/>
      <c r="R899" s="19"/>
      <c r="S899" s="19"/>
      <c r="T899" s="19"/>
      <c r="U899" s="19"/>
      <c r="V899" s="19"/>
    </row>
    <row r="900" spans="3:22" ht="15">
      <c r="C900" s="118"/>
      <c r="D900" s="25"/>
      <c r="E900" s="25"/>
      <c r="F900" s="25"/>
      <c r="G900" s="104"/>
      <c r="H900" s="25"/>
      <c r="I900" s="25"/>
      <c r="J900" s="25"/>
      <c r="L900" s="25"/>
      <c r="O900" s="104"/>
      <c r="P900" s="19"/>
      <c r="Q900" s="19"/>
      <c r="R900" s="19"/>
      <c r="S900" s="19"/>
      <c r="T900" s="19"/>
      <c r="U900" s="19"/>
      <c r="V900" s="19"/>
    </row>
    <row r="901" spans="3:22" ht="15">
      <c r="C901" s="118"/>
      <c r="D901" s="25"/>
      <c r="E901" s="25"/>
      <c r="F901" s="25"/>
      <c r="G901" s="104"/>
      <c r="H901" s="25"/>
      <c r="I901" s="25"/>
      <c r="J901" s="25"/>
      <c r="L901" s="25"/>
      <c r="O901" s="104"/>
      <c r="P901" s="19"/>
      <c r="Q901" s="19"/>
      <c r="R901" s="19"/>
      <c r="S901" s="19"/>
      <c r="T901" s="19"/>
      <c r="U901" s="19"/>
      <c r="V901" s="19"/>
    </row>
    <row r="902" spans="3:22" ht="15">
      <c r="C902" s="118"/>
      <c r="D902" s="25"/>
      <c r="E902" s="25"/>
      <c r="F902" s="25"/>
      <c r="G902" s="104"/>
      <c r="H902" s="25"/>
      <c r="I902" s="25"/>
      <c r="J902" s="25"/>
      <c r="L902" s="25"/>
      <c r="O902" s="104"/>
      <c r="P902" s="19"/>
      <c r="Q902" s="19"/>
      <c r="R902" s="19"/>
      <c r="S902" s="19"/>
      <c r="T902" s="19"/>
      <c r="U902" s="19"/>
      <c r="V902" s="19"/>
    </row>
    <row r="903" spans="3:22" ht="15">
      <c r="C903" s="118"/>
      <c r="D903" s="25"/>
      <c r="E903" s="25"/>
      <c r="F903" s="25"/>
      <c r="G903" s="104"/>
      <c r="H903" s="25"/>
      <c r="I903" s="25"/>
      <c r="J903" s="25"/>
      <c r="L903" s="25"/>
      <c r="O903" s="104"/>
      <c r="P903" s="19"/>
      <c r="Q903" s="19"/>
      <c r="R903" s="19"/>
      <c r="S903" s="19"/>
      <c r="T903" s="19"/>
      <c r="U903" s="19"/>
      <c r="V903" s="19"/>
    </row>
    <row r="904" spans="3:22" ht="15">
      <c r="C904" s="118"/>
      <c r="D904" s="25"/>
      <c r="E904" s="25"/>
      <c r="F904" s="25"/>
      <c r="G904" s="104"/>
      <c r="H904" s="25"/>
      <c r="I904" s="25"/>
      <c r="J904" s="25"/>
      <c r="L904" s="25"/>
      <c r="O904" s="104"/>
      <c r="P904" s="19"/>
      <c r="Q904" s="19"/>
      <c r="R904" s="19"/>
      <c r="S904" s="19"/>
      <c r="T904" s="19"/>
      <c r="U904" s="19"/>
      <c r="V904" s="19"/>
    </row>
    <row r="905" spans="3:22" ht="15">
      <c r="C905" s="118"/>
      <c r="D905" s="25"/>
      <c r="E905" s="25"/>
      <c r="F905" s="25"/>
      <c r="G905" s="104"/>
      <c r="H905" s="25"/>
      <c r="I905" s="25"/>
      <c r="J905" s="25"/>
      <c r="L905" s="25"/>
      <c r="O905" s="104"/>
      <c r="P905" s="19"/>
      <c r="Q905" s="19"/>
      <c r="R905" s="19"/>
      <c r="S905" s="19"/>
      <c r="T905" s="19"/>
      <c r="U905" s="19"/>
      <c r="V905" s="19"/>
    </row>
    <row r="906" spans="3:22" ht="15">
      <c r="C906" s="118"/>
      <c r="D906" s="25"/>
      <c r="E906" s="25"/>
      <c r="F906" s="25"/>
      <c r="G906" s="104"/>
      <c r="H906" s="25"/>
      <c r="I906" s="25"/>
      <c r="J906" s="25"/>
      <c r="L906" s="25"/>
      <c r="O906" s="104"/>
      <c r="P906" s="19"/>
      <c r="Q906" s="19"/>
      <c r="R906" s="19"/>
      <c r="S906" s="19"/>
      <c r="T906" s="19"/>
      <c r="U906" s="19"/>
      <c r="V906" s="19"/>
    </row>
    <row r="907" spans="3:22" ht="15">
      <c r="C907" s="118"/>
      <c r="D907" s="25"/>
      <c r="E907" s="25"/>
      <c r="F907" s="25"/>
      <c r="G907" s="104"/>
      <c r="H907" s="25"/>
      <c r="I907" s="25"/>
      <c r="J907" s="25"/>
      <c r="L907" s="25"/>
      <c r="O907" s="104"/>
      <c r="P907" s="19"/>
      <c r="Q907" s="19"/>
      <c r="R907" s="19"/>
      <c r="S907" s="19"/>
      <c r="T907" s="19"/>
      <c r="U907" s="19"/>
      <c r="V907" s="19"/>
    </row>
    <row r="908" spans="3:22" ht="15">
      <c r="C908" s="118"/>
      <c r="D908" s="25"/>
      <c r="E908" s="25"/>
      <c r="F908" s="25"/>
      <c r="G908" s="104"/>
      <c r="H908" s="25"/>
      <c r="I908" s="25"/>
      <c r="J908" s="25"/>
      <c r="L908" s="25"/>
      <c r="O908" s="104"/>
      <c r="P908" s="19"/>
      <c r="Q908" s="19"/>
      <c r="R908" s="19"/>
      <c r="S908" s="19"/>
      <c r="T908" s="19"/>
      <c r="U908" s="19"/>
      <c r="V908" s="19"/>
    </row>
    <row r="909" spans="3:22" ht="15">
      <c r="C909" s="118"/>
      <c r="D909" s="25"/>
      <c r="E909" s="25"/>
      <c r="F909" s="25"/>
      <c r="G909" s="104"/>
      <c r="H909" s="25"/>
      <c r="I909" s="25"/>
      <c r="J909" s="25"/>
      <c r="L909" s="25"/>
      <c r="O909" s="104"/>
      <c r="P909" s="19"/>
      <c r="Q909" s="19"/>
      <c r="R909" s="19"/>
      <c r="S909" s="19"/>
      <c r="T909" s="19"/>
      <c r="U909" s="19"/>
      <c r="V909" s="19"/>
    </row>
    <row r="910" spans="3:22" ht="15">
      <c r="C910" s="118"/>
      <c r="D910" s="25"/>
      <c r="E910" s="25"/>
      <c r="F910" s="25"/>
      <c r="G910" s="104"/>
      <c r="H910" s="25"/>
      <c r="I910" s="25"/>
      <c r="J910" s="25"/>
      <c r="L910" s="25"/>
      <c r="O910" s="104"/>
      <c r="P910" s="19"/>
      <c r="Q910" s="19"/>
      <c r="R910" s="19"/>
      <c r="S910" s="19"/>
      <c r="T910" s="19"/>
      <c r="U910" s="19"/>
      <c r="V910" s="19"/>
    </row>
    <row r="911" spans="3:22" ht="15">
      <c r="C911" s="118"/>
      <c r="D911" s="25"/>
      <c r="E911" s="25"/>
      <c r="F911" s="25"/>
      <c r="G911" s="104"/>
      <c r="H911" s="25"/>
      <c r="I911" s="25"/>
      <c r="J911" s="25"/>
      <c r="L911" s="25"/>
      <c r="O911" s="104"/>
      <c r="P911" s="19"/>
      <c r="Q911" s="19"/>
      <c r="R911" s="19"/>
      <c r="S911" s="19"/>
      <c r="T911" s="19"/>
      <c r="U911" s="19"/>
      <c r="V911" s="19"/>
    </row>
    <row r="912" spans="3:22" ht="15">
      <c r="C912" s="118"/>
      <c r="D912" s="25"/>
      <c r="E912" s="25"/>
      <c r="F912" s="25"/>
      <c r="G912" s="104"/>
      <c r="H912" s="25"/>
      <c r="I912" s="25"/>
      <c r="J912" s="25"/>
      <c r="L912" s="25"/>
      <c r="O912" s="104"/>
      <c r="P912" s="19"/>
      <c r="Q912" s="19"/>
      <c r="R912" s="19"/>
      <c r="S912" s="19"/>
      <c r="T912" s="19"/>
      <c r="U912" s="19"/>
      <c r="V912" s="19"/>
    </row>
    <row r="913" spans="3:22" ht="15">
      <c r="C913" s="118"/>
      <c r="D913" s="25"/>
      <c r="E913" s="25"/>
      <c r="F913" s="25"/>
      <c r="G913" s="104"/>
      <c r="H913" s="25"/>
      <c r="I913" s="25"/>
      <c r="J913" s="25"/>
      <c r="L913" s="25"/>
      <c r="O913" s="104"/>
      <c r="P913" s="19"/>
      <c r="Q913" s="19"/>
      <c r="R913" s="19"/>
      <c r="S913" s="19"/>
      <c r="T913" s="19"/>
      <c r="U913" s="19"/>
      <c r="V913" s="19"/>
    </row>
    <row r="914" spans="3:22" ht="15">
      <c r="C914" s="118"/>
      <c r="D914" s="25"/>
      <c r="E914" s="25"/>
      <c r="F914" s="25"/>
      <c r="G914" s="104"/>
      <c r="H914" s="25"/>
      <c r="I914" s="25"/>
      <c r="J914" s="25"/>
      <c r="L914" s="25"/>
      <c r="O914" s="104"/>
      <c r="P914" s="19"/>
      <c r="Q914" s="19"/>
      <c r="R914" s="19"/>
      <c r="S914" s="19"/>
      <c r="T914" s="19"/>
      <c r="U914" s="19"/>
      <c r="V914" s="19"/>
    </row>
    <row r="915" spans="3:22" ht="15">
      <c r="C915" s="118"/>
      <c r="D915" s="25"/>
      <c r="E915" s="25"/>
      <c r="F915" s="25"/>
      <c r="G915" s="104"/>
      <c r="H915" s="25"/>
      <c r="I915" s="25"/>
      <c r="J915" s="25"/>
      <c r="L915" s="25"/>
      <c r="O915" s="104"/>
      <c r="P915" s="19"/>
      <c r="Q915" s="19"/>
      <c r="R915" s="19"/>
      <c r="S915" s="19"/>
      <c r="T915" s="19"/>
      <c r="U915" s="19"/>
      <c r="V915" s="19"/>
    </row>
    <row r="916" spans="3:22" ht="15">
      <c r="C916" s="118"/>
      <c r="D916" s="25"/>
      <c r="E916" s="25"/>
      <c r="F916" s="25"/>
      <c r="G916" s="104"/>
      <c r="H916" s="25"/>
      <c r="I916" s="25"/>
      <c r="J916" s="25"/>
      <c r="L916" s="25"/>
      <c r="O916" s="104"/>
      <c r="P916" s="19"/>
      <c r="Q916" s="19"/>
      <c r="R916" s="19"/>
      <c r="S916" s="19"/>
      <c r="T916" s="19"/>
      <c r="U916" s="19"/>
      <c r="V916" s="19"/>
    </row>
    <row r="917" spans="3:22" ht="15">
      <c r="C917" s="118"/>
      <c r="D917" s="25"/>
      <c r="E917" s="25"/>
      <c r="F917" s="25"/>
      <c r="G917" s="104"/>
      <c r="H917" s="25"/>
      <c r="I917" s="25"/>
      <c r="J917" s="25"/>
      <c r="L917" s="25"/>
      <c r="O917" s="104"/>
      <c r="P917" s="19"/>
      <c r="Q917" s="19"/>
      <c r="R917" s="19"/>
      <c r="S917" s="19"/>
      <c r="T917" s="19"/>
      <c r="U917" s="19"/>
      <c r="V917" s="19"/>
    </row>
    <row r="918" spans="3:22" ht="15">
      <c r="C918" s="118"/>
      <c r="D918" s="25"/>
      <c r="E918" s="25"/>
      <c r="F918" s="25"/>
      <c r="G918" s="104"/>
      <c r="H918" s="25"/>
      <c r="I918" s="25"/>
      <c r="J918" s="25"/>
      <c r="L918" s="25"/>
      <c r="O918" s="104"/>
      <c r="P918" s="19"/>
      <c r="Q918" s="19"/>
      <c r="R918" s="19"/>
      <c r="S918" s="19"/>
      <c r="T918" s="19"/>
      <c r="U918" s="19"/>
      <c r="V918" s="19"/>
    </row>
    <row r="919" spans="3:22" ht="15">
      <c r="C919" s="118"/>
      <c r="D919" s="25"/>
      <c r="E919" s="25"/>
      <c r="F919" s="25"/>
      <c r="G919" s="104"/>
      <c r="H919" s="25"/>
      <c r="I919" s="25"/>
      <c r="J919" s="25"/>
      <c r="L919" s="25"/>
      <c r="O919" s="104"/>
      <c r="P919" s="19"/>
      <c r="Q919" s="19"/>
      <c r="R919" s="19"/>
      <c r="S919" s="19"/>
      <c r="T919" s="19"/>
      <c r="U919" s="19"/>
      <c r="V919" s="19"/>
    </row>
    <row r="920" spans="3:22" ht="15">
      <c r="C920" s="118"/>
      <c r="D920" s="25"/>
      <c r="E920" s="25"/>
      <c r="F920" s="25"/>
      <c r="G920" s="104"/>
      <c r="H920" s="25"/>
      <c r="I920" s="25"/>
      <c r="J920" s="25"/>
      <c r="L920" s="25"/>
      <c r="O920" s="104"/>
      <c r="P920" s="19"/>
      <c r="Q920" s="19"/>
      <c r="R920" s="19"/>
      <c r="S920" s="19"/>
      <c r="T920" s="19"/>
      <c r="U920" s="19"/>
      <c r="V920" s="19"/>
    </row>
    <row r="921" spans="3:22" ht="15">
      <c r="C921" s="118"/>
      <c r="D921" s="25"/>
      <c r="E921" s="25"/>
      <c r="F921" s="25"/>
      <c r="G921" s="104"/>
      <c r="H921" s="25"/>
      <c r="I921" s="25"/>
      <c r="J921" s="25"/>
      <c r="L921" s="25"/>
      <c r="O921" s="104"/>
      <c r="P921" s="19"/>
      <c r="Q921" s="19"/>
      <c r="R921" s="19"/>
      <c r="S921" s="19"/>
      <c r="T921" s="19"/>
      <c r="U921" s="19"/>
      <c r="V921" s="19"/>
    </row>
    <row r="922" spans="3:22" ht="15">
      <c r="C922" s="118"/>
      <c r="D922" s="25"/>
      <c r="E922" s="25"/>
      <c r="F922" s="25"/>
      <c r="G922" s="104"/>
      <c r="H922" s="25"/>
      <c r="I922" s="25"/>
      <c r="J922" s="25"/>
      <c r="L922" s="25"/>
      <c r="O922" s="104"/>
      <c r="P922" s="19"/>
      <c r="Q922" s="19"/>
      <c r="R922" s="19"/>
      <c r="S922" s="19"/>
      <c r="T922" s="19"/>
      <c r="U922" s="19"/>
      <c r="V922" s="19"/>
    </row>
    <row r="923" spans="3:22" ht="15">
      <c r="C923" s="118"/>
      <c r="D923" s="25"/>
      <c r="E923" s="25"/>
      <c r="F923" s="25"/>
      <c r="G923" s="104"/>
      <c r="H923" s="25"/>
      <c r="I923" s="25"/>
      <c r="J923" s="25"/>
      <c r="L923" s="25"/>
      <c r="O923" s="104"/>
      <c r="P923" s="19"/>
      <c r="Q923" s="19"/>
      <c r="R923" s="19"/>
      <c r="S923" s="19"/>
      <c r="T923" s="19"/>
      <c r="U923" s="19"/>
      <c r="V923" s="19"/>
    </row>
    <row r="924" spans="3:22" ht="15">
      <c r="C924" s="118"/>
      <c r="D924" s="25"/>
      <c r="E924" s="25"/>
      <c r="F924" s="25"/>
      <c r="G924" s="104"/>
      <c r="H924" s="25"/>
      <c r="I924" s="25"/>
      <c r="J924" s="25"/>
      <c r="L924" s="25"/>
      <c r="O924" s="104"/>
      <c r="P924" s="19"/>
      <c r="Q924" s="19"/>
      <c r="R924" s="19"/>
      <c r="S924" s="19"/>
      <c r="T924" s="19"/>
      <c r="U924" s="19"/>
      <c r="V924" s="19"/>
    </row>
    <row r="925" spans="3:22" ht="15">
      <c r="C925" s="118"/>
      <c r="D925" s="25"/>
      <c r="E925" s="25"/>
      <c r="F925" s="25"/>
      <c r="G925" s="104"/>
      <c r="H925" s="25"/>
      <c r="I925" s="25"/>
      <c r="J925" s="25"/>
      <c r="L925" s="25"/>
      <c r="O925" s="104"/>
      <c r="P925" s="19"/>
      <c r="Q925" s="19"/>
      <c r="R925" s="19"/>
      <c r="S925" s="19"/>
      <c r="T925" s="19"/>
      <c r="U925" s="19"/>
      <c r="V925" s="19"/>
    </row>
    <row r="926" spans="3:22" ht="15">
      <c r="C926" s="118"/>
      <c r="D926" s="25"/>
      <c r="E926" s="25"/>
      <c r="F926" s="25"/>
      <c r="G926" s="104"/>
      <c r="H926" s="25"/>
      <c r="I926" s="25"/>
      <c r="J926" s="25"/>
      <c r="L926" s="25"/>
      <c r="O926" s="104"/>
      <c r="P926" s="19"/>
      <c r="Q926" s="19"/>
      <c r="R926" s="19"/>
      <c r="S926" s="19"/>
      <c r="T926" s="19"/>
      <c r="U926" s="19"/>
      <c r="V926" s="19"/>
    </row>
    <row r="927" spans="3:22" ht="15">
      <c r="C927" s="118"/>
      <c r="D927" s="25"/>
      <c r="E927" s="25"/>
      <c r="F927" s="25"/>
      <c r="G927" s="104"/>
      <c r="H927" s="25"/>
      <c r="I927" s="25"/>
      <c r="J927" s="25"/>
      <c r="L927" s="25"/>
      <c r="O927" s="104"/>
      <c r="P927" s="19"/>
      <c r="Q927" s="19"/>
      <c r="R927" s="19"/>
      <c r="S927" s="19"/>
      <c r="T927" s="19"/>
      <c r="U927" s="19"/>
      <c r="V927" s="19"/>
    </row>
    <row r="928" spans="3:22" ht="15">
      <c r="C928" s="118"/>
      <c r="D928" s="25"/>
      <c r="E928" s="25"/>
      <c r="F928" s="25"/>
      <c r="G928" s="104"/>
      <c r="H928" s="25"/>
      <c r="I928" s="25"/>
      <c r="J928" s="25"/>
      <c r="L928" s="25"/>
      <c r="O928" s="104"/>
      <c r="P928" s="19"/>
      <c r="Q928" s="19"/>
      <c r="R928" s="19"/>
      <c r="S928" s="19"/>
      <c r="T928" s="19"/>
      <c r="U928" s="19"/>
      <c r="V928" s="19"/>
    </row>
    <row r="929" spans="3:22" ht="15">
      <c r="C929" s="118"/>
      <c r="D929" s="25"/>
      <c r="E929" s="25"/>
      <c r="F929" s="25"/>
      <c r="G929" s="104"/>
      <c r="H929" s="25"/>
      <c r="I929" s="25"/>
      <c r="J929" s="25"/>
      <c r="L929" s="25"/>
      <c r="O929" s="104"/>
      <c r="P929" s="19"/>
      <c r="Q929" s="19"/>
      <c r="R929" s="19"/>
      <c r="S929" s="19"/>
      <c r="T929" s="19"/>
      <c r="U929" s="19"/>
      <c r="V929" s="19"/>
    </row>
    <row r="930" spans="3:22" ht="15">
      <c r="C930" s="118"/>
      <c r="D930" s="25"/>
      <c r="E930" s="25"/>
      <c r="F930" s="25"/>
      <c r="G930" s="104"/>
      <c r="H930" s="25"/>
      <c r="I930" s="25"/>
      <c r="J930" s="25"/>
      <c r="L930" s="25"/>
      <c r="O930" s="104"/>
      <c r="P930" s="19"/>
      <c r="Q930" s="19"/>
      <c r="R930" s="19"/>
      <c r="S930" s="19"/>
      <c r="T930" s="19"/>
      <c r="U930" s="19"/>
      <c r="V930" s="19"/>
    </row>
    <row r="931" spans="3:22" ht="15">
      <c r="C931" s="118"/>
      <c r="D931" s="25"/>
      <c r="E931" s="25"/>
      <c r="F931" s="25"/>
      <c r="G931" s="104"/>
      <c r="H931" s="25"/>
      <c r="I931" s="25"/>
      <c r="J931" s="25"/>
      <c r="L931" s="25"/>
      <c r="O931" s="104"/>
      <c r="P931" s="19"/>
      <c r="Q931" s="19"/>
      <c r="R931" s="19"/>
      <c r="S931" s="19"/>
      <c r="T931" s="19"/>
      <c r="U931" s="19"/>
      <c r="V931" s="19"/>
    </row>
    <row r="932" spans="3:22" ht="15">
      <c r="C932" s="118"/>
      <c r="D932" s="25"/>
      <c r="E932" s="25"/>
      <c r="F932" s="25"/>
      <c r="G932" s="104"/>
      <c r="H932" s="25"/>
      <c r="I932" s="25"/>
      <c r="J932" s="25"/>
      <c r="L932" s="25"/>
      <c r="O932" s="104"/>
      <c r="P932" s="19"/>
      <c r="Q932" s="19"/>
      <c r="R932" s="19"/>
      <c r="S932" s="19"/>
      <c r="T932" s="19"/>
      <c r="U932" s="19"/>
      <c r="V932" s="19"/>
    </row>
    <row r="933" spans="3:22" ht="15">
      <c r="C933" s="118"/>
      <c r="D933" s="25"/>
      <c r="E933" s="25"/>
      <c r="F933" s="25"/>
      <c r="G933" s="104"/>
      <c r="H933" s="25"/>
      <c r="I933" s="25"/>
      <c r="J933" s="25"/>
      <c r="L933" s="25"/>
      <c r="O933" s="104"/>
      <c r="P933" s="19"/>
      <c r="Q933" s="19"/>
      <c r="R933" s="19"/>
      <c r="S933" s="19"/>
      <c r="T933" s="19"/>
      <c r="U933" s="19"/>
      <c r="V933" s="19"/>
    </row>
    <row r="934" spans="3:22" ht="15">
      <c r="C934" s="118"/>
      <c r="D934" s="25"/>
      <c r="E934" s="25"/>
      <c r="F934" s="25"/>
      <c r="G934" s="104"/>
      <c r="H934" s="25"/>
      <c r="I934" s="25"/>
      <c r="J934" s="25"/>
      <c r="L934" s="25"/>
      <c r="O934" s="104"/>
      <c r="P934" s="19"/>
      <c r="Q934" s="19"/>
      <c r="R934" s="19"/>
      <c r="S934" s="19"/>
      <c r="T934" s="19"/>
      <c r="U934" s="19"/>
      <c r="V934" s="19"/>
    </row>
    <row r="935" spans="3:22" ht="15">
      <c r="C935" s="118"/>
      <c r="D935" s="25"/>
      <c r="E935" s="25"/>
      <c r="F935" s="25"/>
      <c r="G935" s="104"/>
      <c r="H935" s="25"/>
      <c r="I935" s="25"/>
      <c r="J935" s="25"/>
      <c r="L935" s="25"/>
      <c r="O935" s="104"/>
      <c r="P935" s="19"/>
      <c r="Q935" s="19"/>
      <c r="R935" s="19"/>
      <c r="S935" s="19"/>
      <c r="T935" s="19"/>
      <c r="U935" s="19"/>
      <c r="V935" s="19"/>
    </row>
    <row r="936" spans="3:22" ht="15">
      <c r="C936" s="118"/>
      <c r="D936" s="25"/>
      <c r="E936" s="25"/>
      <c r="F936" s="25"/>
      <c r="G936" s="104"/>
      <c r="H936" s="25"/>
      <c r="I936" s="25"/>
      <c r="J936" s="25"/>
      <c r="L936" s="25"/>
      <c r="O936" s="104"/>
      <c r="P936" s="19"/>
      <c r="Q936" s="19"/>
      <c r="R936" s="19"/>
      <c r="S936" s="19"/>
      <c r="T936" s="19"/>
      <c r="U936" s="19"/>
      <c r="V936" s="19"/>
    </row>
    <row r="937" spans="3:22" ht="15">
      <c r="C937" s="118"/>
      <c r="D937" s="25"/>
      <c r="E937" s="25"/>
      <c r="F937" s="25"/>
      <c r="G937" s="104"/>
      <c r="H937" s="25"/>
      <c r="I937" s="25"/>
      <c r="J937" s="25"/>
      <c r="L937" s="25"/>
      <c r="O937" s="104"/>
      <c r="P937" s="19"/>
      <c r="Q937" s="19"/>
      <c r="R937" s="19"/>
      <c r="S937" s="19"/>
      <c r="T937" s="19"/>
      <c r="U937" s="19"/>
      <c r="V937" s="19"/>
    </row>
    <row r="938" spans="3:22" ht="15">
      <c r="C938" s="118"/>
      <c r="D938" s="25"/>
      <c r="E938" s="25"/>
      <c r="F938" s="25"/>
      <c r="G938" s="104"/>
      <c r="H938" s="25"/>
      <c r="I938" s="25"/>
      <c r="J938" s="25"/>
      <c r="L938" s="25"/>
      <c r="O938" s="104"/>
      <c r="P938" s="19"/>
      <c r="Q938" s="19"/>
      <c r="R938" s="19"/>
      <c r="S938" s="19"/>
      <c r="T938" s="19"/>
      <c r="U938" s="19"/>
      <c r="V938" s="19"/>
    </row>
    <row r="939" spans="3:22" ht="15">
      <c r="C939" s="118"/>
      <c r="D939" s="25"/>
      <c r="E939" s="25"/>
      <c r="F939" s="25"/>
      <c r="G939" s="104"/>
      <c r="H939" s="25"/>
      <c r="I939" s="25"/>
      <c r="J939" s="25"/>
      <c r="L939" s="25"/>
      <c r="O939" s="104"/>
      <c r="P939" s="19"/>
      <c r="Q939" s="19"/>
      <c r="R939" s="19"/>
      <c r="S939" s="19"/>
      <c r="T939" s="19"/>
      <c r="U939" s="19"/>
      <c r="V939" s="19"/>
    </row>
    <row r="940" spans="3:22" ht="15">
      <c r="C940" s="118"/>
      <c r="D940" s="25"/>
      <c r="E940" s="25"/>
      <c r="F940" s="25"/>
      <c r="G940" s="104"/>
      <c r="H940" s="25"/>
      <c r="I940" s="25"/>
      <c r="J940" s="25"/>
      <c r="L940" s="25"/>
      <c r="O940" s="104"/>
      <c r="P940" s="19"/>
      <c r="Q940" s="19"/>
      <c r="R940" s="19"/>
      <c r="S940" s="19"/>
      <c r="T940" s="19"/>
      <c r="U940" s="19"/>
      <c r="V940" s="19"/>
    </row>
    <row r="941" spans="3:22" ht="15">
      <c r="C941" s="118"/>
      <c r="D941" s="25"/>
      <c r="E941" s="25"/>
      <c r="F941" s="25"/>
      <c r="G941" s="104"/>
      <c r="H941" s="25"/>
      <c r="I941" s="25"/>
      <c r="J941" s="25"/>
      <c r="L941" s="25"/>
      <c r="O941" s="104"/>
      <c r="P941" s="19"/>
      <c r="Q941" s="19"/>
      <c r="R941" s="19"/>
      <c r="S941" s="19"/>
      <c r="T941" s="19"/>
      <c r="U941" s="19"/>
      <c r="V941" s="19"/>
    </row>
    <row r="942" spans="3:22" ht="15">
      <c r="C942" s="118"/>
      <c r="D942" s="25"/>
      <c r="E942" s="25"/>
      <c r="F942" s="25"/>
      <c r="G942" s="104"/>
      <c r="H942" s="25"/>
      <c r="I942" s="25"/>
      <c r="J942" s="25"/>
      <c r="L942" s="25"/>
      <c r="O942" s="104"/>
      <c r="P942" s="19"/>
      <c r="Q942" s="19"/>
      <c r="R942" s="19"/>
      <c r="S942" s="19"/>
      <c r="T942" s="19"/>
      <c r="U942" s="19"/>
      <c r="V942" s="19"/>
    </row>
    <row r="943" spans="3:22" ht="15">
      <c r="C943" s="118"/>
      <c r="D943" s="25"/>
      <c r="E943" s="25"/>
      <c r="F943" s="25"/>
      <c r="G943" s="104"/>
      <c r="H943" s="25"/>
      <c r="I943" s="25"/>
      <c r="J943" s="25"/>
      <c r="L943" s="25"/>
      <c r="O943" s="104"/>
      <c r="P943" s="19"/>
      <c r="Q943" s="19"/>
      <c r="R943" s="19"/>
      <c r="S943" s="19"/>
      <c r="T943" s="19"/>
      <c r="U943" s="19"/>
      <c r="V943" s="19"/>
    </row>
    <row r="944" spans="3:22" ht="15">
      <c r="C944" s="118"/>
      <c r="D944" s="25"/>
      <c r="E944" s="25"/>
      <c r="F944" s="25"/>
      <c r="G944" s="104"/>
      <c r="H944" s="25"/>
      <c r="I944" s="25"/>
      <c r="J944" s="25"/>
      <c r="L944" s="25"/>
      <c r="O944" s="104"/>
      <c r="P944" s="19"/>
      <c r="Q944" s="19"/>
      <c r="R944" s="19"/>
      <c r="S944" s="19"/>
      <c r="T944" s="19"/>
      <c r="U944" s="19"/>
      <c r="V944" s="19"/>
    </row>
    <row r="945" spans="3:22" ht="15">
      <c r="C945" s="118"/>
      <c r="D945" s="25"/>
      <c r="E945" s="25"/>
      <c r="F945" s="25"/>
      <c r="G945" s="104"/>
      <c r="H945" s="25"/>
      <c r="I945" s="25"/>
      <c r="J945" s="25"/>
      <c r="L945" s="25"/>
      <c r="O945" s="104"/>
      <c r="P945" s="19"/>
      <c r="Q945" s="19"/>
      <c r="R945" s="19"/>
      <c r="S945" s="19"/>
      <c r="T945" s="19"/>
      <c r="U945" s="19"/>
      <c r="V945" s="19"/>
    </row>
    <row r="946" spans="3:22" ht="15">
      <c r="C946" s="118"/>
      <c r="D946" s="25"/>
      <c r="E946" s="25"/>
      <c r="F946" s="25"/>
      <c r="G946" s="104"/>
      <c r="H946" s="25"/>
      <c r="I946" s="25"/>
      <c r="J946" s="25"/>
      <c r="L946" s="25"/>
      <c r="O946" s="104"/>
      <c r="P946" s="19"/>
      <c r="Q946" s="19"/>
      <c r="R946" s="19"/>
      <c r="S946" s="19"/>
      <c r="T946" s="19"/>
      <c r="U946" s="19"/>
      <c r="V946" s="19"/>
    </row>
    <row r="947" spans="3:22" ht="15">
      <c r="C947" s="118"/>
      <c r="D947" s="25"/>
      <c r="E947" s="25"/>
      <c r="F947" s="25"/>
      <c r="G947" s="104"/>
      <c r="H947" s="25"/>
      <c r="I947" s="25"/>
      <c r="J947" s="25"/>
      <c r="L947" s="25"/>
      <c r="O947" s="104"/>
      <c r="P947" s="19"/>
      <c r="Q947" s="19"/>
      <c r="R947" s="19"/>
      <c r="S947" s="19"/>
      <c r="T947" s="19"/>
      <c r="U947" s="19"/>
      <c r="V947" s="19"/>
    </row>
    <row r="948" spans="3:22" ht="15">
      <c r="C948" s="118"/>
      <c r="D948" s="25"/>
      <c r="E948" s="25"/>
      <c r="F948" s="25"/>
      <c r="G948" s="104"/>
      <c r="H948" s="25"/>
      <c r="I948" s="25"/>
      <c r="J948" s="25"/>
      <c r="L948" s="25"/>
      <c r="O948" s="104"/>
      <c r="P948" s="19"/>
      <c r="Q948" s="19"/>
      <c r="R948" s="19"/>
      <c r="S948" s="19"/>
      <c r="T948" s="19"/>
      <c r="U948" s="19"/>
      <c r="V948" s="19"/>
    </row>
    <row r="949" spans="3:22" ht="15">
      <c r="C949" s="118"/>
      <c r="D949" s="25"/>
      <c r="E949" s="25"/>
      <c r="F949" s="25"/>
      <c r="G949" s="104"/>
      <c r="H949" s="25"/>
      <c r="I949" s="25"/>
      <c r="J949" s="25"/>
      <c r="L949" s="25"/>
      <c r="O949" s="104"/>
      <c r="P949" s="19"/>
      <c r="Q949" s="19"/>
      <c r="R949" s="19"/>
      <c r="S949" s="19"/>
      <c r="T949" s="19"/>
      <c r="U949" s="19"/>
      <c r="V949" s="19"/>
    </row>
    <row r="950" spans="3:22" ht="15">
      <c r="C950" s="118"/>
      <c r="D950" s="25"/>
      <c r="E950" s="25"/>
      <c r="F950" s="25"/>
      <c r="G950" s="104"/>
      <c r="H950" s="25"/>
      <c r="I950" s="25"/>
      <c r="J950" s="25"/>
      <c r="L950" s="25"/>
      <c r="O950" s="104"/>
      <c r="P950" s="19"/>
      <c r="Q950" s="19"/>
      <c r="R950" s="19"/>
      <c r="S950" s="19"/>
      <c r="T950" s="19"/>
      <c r="U950" s="19"/>
      <c r="V950" s="19"/>
    </row>
    <row r="951" spans="3:22" ht="15">
      <c r="C951" s="118"/>
      <c r="D951" s="25"/>
      <c r="E951" s="25"/>
      <c r="F951" s="25"/>
      <c r="G951" s="104"/>
      <c r="H951" s="25"/>
      <c r="I951" s="25"/>
      <c r="J951" s="25"/>
      <c r="L951" s="25"/>
      <c r="O951" s="104"/>
      <c r="P951" s="19"/>
      <c r="Q951" s="19"/>
      <c r="R951" s="19"/>
      <c r="S951" s="19"/>
      <c r="T951" s="19"/>
      <c r="U951" s="19"/>
      <c r="V951" s="19"/>
    </row>
    <row r="952" spans="3:22" ht="15">
      <c r="C952" s="118"/>
      <c r="D952" s="25"/>
      <c r="E952" s="25"/>
      <c r="F952" s="25"/>
      <c r="G952" s="104"/>
      <c r="H952" s="25"/>
      <c r="I952" s="25"/>
      <c r="J952" s="25"/>
      <c r="L952" s="25"/>
      <c r="O952" s="104"/>
      <c r="P952" s="19"/>
      <c r="Q952" s="19"/>
      <c r="R952" s="19"/>
      <c r="S952" s="19"/>
      <c r="T952" s="19"/>
      <c r="U952" s="19"/>
      <c r="V952" s="19"/>
    </row>
    <row r="953" spans="3:22" ht="15">
      <c r="C953" s="118"/>
      <c r="D953" s="25"/>
      <c r="E953" s="25"/>
      <c r="F953" s="25"/>
      <c r="G953" s="104"/>
      <c r="H953" s="25"/>
      <c r="I953" s="25"/>
      <c r="J953" s="25"/>
      <c r="L953" s="25"/>
      <c r="O953" s="104"/>
      <c r="P953" s="19"/>
      <c r="Q953" s="19"/>
      <c r="R953" s="19"/>
      <c r="S953" s="19"/>
      <c r="T953" s="19"/>
      <c r="U953" s="19"/>
      <c r="V953" s="19"/>
    </row>
    <row r="954" spans="3:22" ht="15">
      <c r="C954" s="118"/>
      <c r="D954" s="25"/>
      <c r="E954" s="25"/>
      <c r="F954" s="25"/>
      <c r="G954" s="104"/>
      <c r="H954" s="25"/>
      <c r="I954" s="25"/>
      <c r="J954" s="25"/>
      <c r="L954" s="25"/>
      <c r="O954" s="104"/>
      <c r="P954" s="19"/>
      <c r="Q954" s="19"/>
      <c r="R954" s="19"/>
      <c r="S954" s="19"/>
      <c r="T954" s="19"/>
      <c r="U954" s="19"/>
      <c r="V954" s="19"/>
    </row>
    <row r="955" spans="3:22" ht="15">
      <c r="C955" s="118"/>
      <c r="D955" s="25"/>
      <c r="E955" s="25"/>
      <c r="F955" s="25"/>
      <c r="G955" s="104"/>
      <c r="H955" s="25"/>
      <c r="I955" s="25"/>
      <c r="J955" s="25"/>
      <c r="L955" s="25"/>
      <c r="O955" s="104"/>
      <c r="P955" s="19"/>
      <c r="Q955" s="19"/>
      <c r="R955" s="19"/>
      <c r="S955" s="19"/>
      <c r="T955" s="19"/>
      <c r="U955" s="19"/>
      <c r="V955" s="19"/>
    </row>
    <row r="956" spans="3:22" ht="15">
      <c r="C956" s="118"/>
      <c r="D956" s="25"/>
      <c r="E956" s="25"/>
      <c r="F956" s="25"/>
      <c r="G956" s="104"/>
      <c r="H956" s="25"/>
      <c r="I956" s="25"/>
      <c r="J956" s="25"/>
      <c r="L956" s="25"/>
      <c r="O956" s="104"/>
      <c r="P956" s="19"/>
      <c r="Q956" s="19"/>
      <c r="R956" s="19"/>
      <c r="S956" s="19"/>
      <c r="T956" s="19"/>
      <c r="U956" s="19"/>
      <c r="V956" s="19"/>
    </row>
    <row r="957" spans="3:22" ht="15">
      <c r="C957" s="118"/>
      <c r="D957" s="25"/>
      <c r="E957" s="25"/>
      <c r="F957" s="25"/>
      <c r="G957" s="104"/>
      <c r="H957" s="25"/>
      <c r="I957" s="25"/>
      <c r="J957" s="25"/>
      <c r="L957" s="25"/>
      <c r="O957" s="104"/>
      <c r="P957" s="19"/>
      <c r="Q957" s="19"/>
      <c r="R957" s="19"/>
      <c r="S957" s="19"/>
      <c r="T957" s="19"/>
      <c r="U957" s="19"/>
      <c r="V957" s="19"/>
    </row>
    <row r="958" spans="3:22" ht="15">
      <c r="C958" s="118"/>
      <c r="D958" s="25"/>
      <c r="E958" s="25"/>
      <c r="F958" s="25"/>
      <c r="G958" s="104"/>
      <c r="H958" s="25"/>
      <c r="I958" s="25"/>
      <c r="J958" s="25"/>
      <c r="L958" s="25"/>
      <c r="O958" s="104"/>
      <c r="P958" s="19"/>
      <c r="Q958" s="19"/>
      <c r="R958" s="19"/>
      <c r="S958" s="19"/>
      <c r="T958" s="19"/>
      <c r="U958" s="19"/>
      <c r="V958" s="19"/>
    </row>
    <row r="959" spans="3:22" ht="15">
      <c r="C959" s="118"/>
      <c r="D959" s="25"/>
      <c r="E959" s="25"/>
      <c r="F959" s="25"/>
      <c r="G959" s="104"/>
      <c r="H959" s="25"/>
      <c r="I959" s="25"/>
      <c r="J959" s="25"/>
      <c r="L959" s="25"/>
      <c r="O959" s="104"/>
      <c r="P959" s="19"/>
      <c r="Q959" s="19"/>
      <c r="R959" s="19"/>
      <c r="S959" s="19"/>
      <c r="T959" s="19"/>
      <c r="U959" s="19"/>
      <c r="V959" s="19"/>
    </row>
    <row r="960" spans="3:22" ht="15">
      <c r="C960" s="118"/>
      <c r="D960" s="25"/>
      <c r="E960" s="25"/>
      <c r="F960" s="25"/>
      <c r="G960" s="104"/>
      <c r="H960" s="25"/>
      <c r="I960" s="25"/>
      <c r="J960" s="25"/>
      <c r="L960" s="25"/>
      <c r="O960" s="104"/>
      <c r="P960" s="19"/>
      <c r="Q960" s="19"/>
      <c r="R960" s="19"/>
      <c r="S960" s="19"/>
      <c r="T960" s="19"/>
      <c r="U960" s="19"/>
      <c r="V960" s="19"/>
    </row>
    <row r="961" spans="3:22" ht="15">
      <c r="C961" s="118"/>
      <c r="D961" s="25"/>
      <c r="E961" s="25"/>
      <c r="F961" s="25"/>
      <c r="G961" s="104"/>
      <c r="H961" s="25"/>
      <c r="I961" s="25"/>
      <c r="J961" s="25"/>
      <c r="L961" s="25"/>
      <c r="O961" s="104"/>
      <c r="P961" s="19"/>
      <c r="Q961" s="19"/>
      <c r="R961" s="19"/>
      <c r="S961" s="19"/>
      <c r="T961" s="19"/>
      <c r="U961" s="19"/>
      <c r="V961" s="19"/>
    </row>
    <row r="962" spans="3:22" ht="15">
      <c r="C962" s="118"/>
      <c r="D962" s="25"/>
      <c r="E962" s="25"/>
      <c r="F962" s="25"/>
      <c r="G962" s="104"/>
      <c r="H962" s="25"/>
      <c r="I962" s="25"/>
      <c r="J962" s="25"/>
      <c r="L962" s="25"/>
      <c r="O962" s="104"/>
      <c r="P962" s="19"/>
      <c r="Q962" s="19"/>
      <c r="R962" s="19"/>
      <c r="S962" s="19"/>
      <c r="T962" s="19"/>
      <c r="U962" s="19"/>
      <c r="V962" s="19"/>
    </row>
    <row r="963" spans="3:22" ht="15">
      <c r="C963" s="118"/>
      <c r="D963" s="25"/>
      <c r="E963" s="25"/>
      <c r="F963" s="25"/>
      <c r="G963" s="104"/>
      <c r="H963" s="25"/>
      <c r="I963" s="25"/>
      <c r="J963" s="25"/>
      <c r="L963" s="25"/>
      <c r="O963" s="104"/>
      <c r="P963" s="19"/>
      <c r="Q963" s="19"/>
      <c r="R963" s="19"/>
      <c r="S963" s="19"/>
      <c r="T963" s="19"/>
      <c r="U963" s="19"/>
      <c r="V963" s="19"/>
    </row>
    <row r="964" spans="3:22" ht="15">
      <c r="C964" s="118"/>
      <c r="D964" s="25"/>
      <c r="E964" s="25"/>
      <c r="F964" s="25"/>
      <c r="G964" s="104"/>
      <c r="H964" s="25"/>
      <c r="I964" s="25"/>
      <c r="J964" s="25"/>
      <c r="L964" s="25"/>
      <c r="O964" s="104"/>
      <c r="P964" s="19"/>
      <c r="Q964" s="19"/>
      <c r="R964" s="19"/>
      <c r="S964" s="19"/>
      <c r="T964" s="19"/>
      <c r="U964" s="19"/>
      <c r="V964" s="19"/>
    </row>
    <row r="965" spans="3:22" ht="15">
      <c r="C965" s="118"/>
      <c r="D965" s="25"/>
      <c r="E965" s="25"/>
      <c r="F965" s="25"/>
      <c r="G965" s="104"/>
      <c r="H965" s="25"/>
      <c r="I965" s="25"/>
      <c r="J965" s="25"/>
      <c r="L965" s="25"/>
      <c r="O965" s="104"/>
      <c r="P965" s="19"/>
      <c r="Q965" s="19"/>
      <c r="R965" s="19"/>
      <c r="S965" s="19"/>
      <c r="T965" s="19"/>
      <c r="U965" s="19"/>
      <c r="V965" s="19"/>
    </row>
    <row r="966" spans="3:22" ht="15">
      <c r="C966" s="118"/>
      <c r="D966" s="25"/>
      <c r="E966" s="25"/>
      <c r="F966" s="25"/>
      <c r="G966" s="104"/>
      <c r="H966" s="25"/>
      <c r="I966" s="25"/>
      <c r="J966" s="25"/>
      <c r="L966" s="25"/>
      <c r="O966" s="104"/>
      <c r="P966" s="19"/>
      <c r="Q966" s="19"/>
      <c r="R966" s="19"/>
      <c r="S966" s="19"/>
      <c r="T966" s="19"/>
      <c r="U966" s="19"/>
      <c r="V966" s="19"/>
    </row>
    <row r="967" spans="3:22" ht="15">
      <c r="C967" s="118"/>
      <c r="D967" s="25"/>
      <c r="E967" s="25"/>
      <c r="F967" s="25"/>
      <c r="G967" s="104"/>
      <c r="H967" s="25"/>
      <c r="I967" s="25"/>
      <c r="J967" s="25"/>
      <c r="L967" s="25"/>
      <c r="O967" s="104"/>
      <c r="P967" s="19"/>
      <c r="Q967" s="19"/>
      <c r="R967" s="19"/>
      <c r="S967" s="19"/>
      <c r="T967" s="19"/>
      <c r="U967" s="19"/>
      <c r="V967" s="19"/>
    </row>
    <row r="968" spans="3:22" ht="15">
      <c r="C968" s="118"/>
      <c r="D968" s="25"/>
      <c r="E968" s="25"/>
      <c r="F968" s="25"/>
      <c r="G968" s="104"/>
      <c r="H968" s="25"/>
      <c r="I968" s="25"/>
      <c r="J968" s="25"/>
      <c r="L968" s="25"/>
      <c r="O968" s="104"/>
      <c r="P968" s="19"/>
      <c r="Q968" s="19"/>
      <c r="R968" s="19"/>
      <c r="S968" s="19"/>
      <c r="T968" s="19"/>
      <c r="U968" s="19"/>
      <c r="V968" s="19"/>
    </row>
    <row r="969" spans="3:22" ht="15">
      <c r="C969" s="118"/>
      <c r="D969" s="25"/>
      <c r="E969" s="25"/>
      <c r="F969" s="25"/>
      <c r="G969" s="104"/>
      <c r="H969" s="25"/>
      <c r="I969" s="25"/>
      <c r="J969" s="25"/>
      <c r="L969" s="25"/>
      <c r="O969" s="104"/>
      <c r="P969" s="19"/>
      <c r="Q969" s="19"/>
      <c r="R969" s="19"/>
      <c r="S969" s="19"/>
      <c r="T969" s="19"/>
      <c r="U969" s="19"/>
      <c r="V969" s="19"/>
    </row>
    <row r="970" spans="3:22" ht="15">
      <c r="C970" s="118"/>
      <c r="D970" s="25"/>
      <c r="E970" s="25"/>
      <c r="F970" s="25"/>
      <c r="G970" s="104"/>
      <c r="H970" s="25"/>
      <c r="I970" s="25"/>
      <c r="J970" s="25"/>
      <c r="L970" s="25"/>
      <c r="O970" s="104"/>
      <c r="P970" s="19"/>
      <c r="Q970" s="19"/>
      <c r="R970" s="19"/>
      <c r="S970" s="19"/>
      <c r="T970" s="19"/>
      <c r="U970" s="19"/>
      <c r="V970" s="19"/>
    </row>
    <row r="971" spans="3:22" ht="15">
      <c r="C971" s="118"/>
      <c r="D971" s="25"/>
      <c r="E971" s="25"/>
      <c r="F971" s="25"/>
      <c r="G971" s="104"/>
      <c r="H971" s="25"/>
      <c r="I971" s="25"/>
      <c r="J971" s="25"/>
      <c r="L971" s="25"/>
      <c r="O971" s="104"/>
      <c r="P971" s="19"/>
      <c r="Q971" s="19"/>
      <c r="R971" s="19"/>
      <c r="S971" s="19"/>
      <c r="T971" s="19"/>
      <c r="U971" s="19"/>
      <c r="V971" s="19"/>
    </row>
    <row r="972" spans="3:22" ht="15">
      <c r="C972" s="118"/>
      <c r="D972" s="25"/>
      <c r="E972" s="25"/>
      <c r="F972" s="25"/>
      <c r="G972" s="104"/>
      <c r="H972" s="25"/>
      <c r="I972" s="25"/>
      <c r="J972" s="25"/>
      <c r="L972" s="25"/>
      <c r="O972" s="104"/>
      <c r="P972" s="19"/>
      <c r="Q972" s="19"/>
      <c r="R972" s="19"/>
      <c r="S972" s="19"/>
      <c r="T972" s="19"/>
      <c r="U972" s="19"/>
      <c r="V972" s="19"/>
    </row>
    <row r="973" spans="3:22" ht="15">
      <c r="C973" s="118"/>
      <c r="D973" s="25"/>
      <c r="E973" s="25"/>
      <c r="F973" s="25"/>
      <c r="G973" s="104"/>
      <c r="H973" s="25"/>
      <c r="I973" s="25"/>
      <c r="J973" s="25"/>
      <c r="L973" s="25"/>
      <c r="O973" s="104"/>
      <c r="P973" s="19"/>
      <c r="Q973" s="19"/>
      <c r="R973" s="19"/>
      <c r="S973" s="19"/>
      <c r="T973" s="19"/>
      <c r="U973" s="19"/>
      <c r="V973" s="19"/>
    </row>
    <row r="974" spans="3:22" ht="15">
      <c r="C974" s="118"/>
      <c r="D974" s="25"/>
      <c r="E974" s="25"/>
      <c r="F974" s="25"/>
      <c r="G974" s="104"/>
      <c r="H974" s="25"/>
      <c r="I974" s="25"/>
      <c r="J974" s="25"/>
      <c r="L974" s="25"/>
      <c r="O974" s="104"/>
      <c r="P974" s="19"/>
      <c r="Q974" s="19"/>
      <c r="R974" s="19"/>
      <c r="S974" s="19"/>
      <c r="T974" s="19"/>
      <c r="U974" s="19"/>
      <c r="V974" s="19"/>
    </row>
    <row r="975" spans="3:22" ht="15">
      <c r="C975" s="118"/>
      <c r="D975" s="25"/>
      <c r="E975" s="25"/>
      <c r="F975" s="25"/>
      <c r="G975" s="104"/>
      <c r="H975" s="25"/>
      <c r="I975" s="25"/>
      <c r="J975" s="25"/>
      <c r="L975" s="25"/>
      <c r="O975" s="104"/>
      <c r="P975" s="19"/>
      <c r="Q975" s="19"/>
      <c r="R975" s="19"/>
      <c r="S975" s="19"/>
      <c r="T975" s="19"/>
      <c r="U975" s="19"/>
      <c r="V975" s="19"/>
    </row>
    <row r="976" spans="3:22" ht="15">
      <c r="C976" s="118"/>
      <c r="D976" s="25"/>
      <c r="E976" s="25"/>
      <c r="F976" s="25"/>
      <c r="G976" s="104"/>
      <c r="H976" s="25"/>
      <c r="I976" s="25"/>
      <c r="J976" s="25"/>
      <c r="L976" s="25"/>
      <c r="O976" s="104"/>
      <c r="P976" s="19"/>
      <c r="Q976" s="19"/>
      <c r="R976" s="19"/>
      <c r="S976" s="19"/>
      <c r="T976" s="19"/>
      <c r="U976" s="19"/>
      <c r="V976" s="19"/>
    </row>
    <row r="977" spans="3:22" ht="15">
      <c r="C977" s="118"/>
      <c r="D977" s="25"/>
      <c r="E977" s="25"/>
      <c r="F977" s="25"/>
      <c r="G977" s="104"/>
      <c r="H977" s="25"/>
      <c r="I977" s="25"/>
      <c r="J977" s="25"/>
      <c r="L977" s="25"/>
      <c r="O977" s="104"/>
      <c r="P977" s="19"/>
      <c r="Q977" s="19"/>
      <c r="R977" s="19"/>
      <c r="S977" s="19"/>
      <c r="T977" s="19"/>
      <c r="U977" s="19"/>
      <c r="V977" s="19"/>
    </row>
    <row r="978" spans="3:22" ht="15">
      <c r="C978" s="118"/>
      <c r="D978" s="25"/>
      <c r="E978" s="25"/>
      <c r="F978" s="25"/>
      <c r="G978" s="104"/>
      <c r="H978" s="25"/>
      <c r="I978" s="25"/>
      <c r="J978" s="25"/>
      <c r="L978" s="25"/>
      <c r="O978" s="104"/>
      <c r="P978" s="19"/>
      <c r="Q978" s="19"/>
      <c r="R978" s="19"/>
      <c r="S978" s="19"/>
      <c r="T978" s="19"/>
      <c r="U978" s="19"/>
      <c r="V978" s="19"/>
    </row>
    <row r="979" spans="3:22" ht="15">
      <c r="C979" s="118"/>
      <c r="D979" s="25"/>
      <c r="E979" s="25"/>
      <c r="F979" s="25"/>
      <c r="G979" s="104"/>
      <c r="H979" s="25"/>
      <c r="I979" s="25"/>
      <c r="J979" s="25"/>
      <c r="L979" s="25"/>
      <c r="O979" s="104"/>
      <c r="P979" s="19"/>
      <c r="Q979" s="19"/>
      <c r="R979" s="19"/>
      <c r="S979" s="19"/>
      <c r="T979" s="19"/>
      <c r="U979" s="19"/>
      <c r="V979" s="19"/>
    </row>
    <row r="980" spans="3:22" ht="15">
      <c r="C980" s="118"/>
      <c r="D980" s="25"/>
      <c r="E980" s="25"/>
      <c r="F980" s="25"/>
      <c r="G980" s="104"/>
      <c r="H980" s="25"/>
      <c r="I980" s="25"/>
      <c r="J980" s="25"/>
      <c r="L980" s="25"/>
      <c r="O980" s="104"/>
      <c r="P980" s="19"/>
      <c r="Q980" s="19"/>
      <c r="R980" s="19"/>
      <c r="S980" s="19"/>
      <c r="T980" s="19"/>
      <c r="U980" s="19"/>
      <c r="V980" s="19"/>
    </row>
    <row r="981" spans="3:22" ht="15">
      <c r="C981" s="118"/>
      <c r="D981" s="25"/>
      <c r="E981" s="25"/>
      <c r="F981" s="25"/>
      <c r="G981" s="104"/>
      <c r="H981" s="25"/>
      <c r="I981" s="25"/>
      <c r="J981" s="25"/>
      <c r="L981" s="25"/>
      <c r="O981" s="104"/>
      <c r="P981" s="19"/>
      <c r="Q981" s="19"/>
      <c r="R981" s="19"/>
      <c r="S981" s="19"/>
      <c r="T981" s="19"/>
      <c r="U981" s="19"/>
      <c r="V981" s="19"/>
    </row>
    <row r="982" spans="3:22" ht="15">
      <c r="C982" s="118"/>
      <c r="D982" s="25"/>
      <c r="E982" s="25"/>
      <c r="F982" s="25"/>
      <c r="G982" s="104"/>
      <c r="H982" s="25"/>
      <c r="I982" s="25"/>
      <c r="J982" s="25"/>
      <c r="L982" s="25"/>
      <c r="O982" s="104"/>
      <c r="P982" s="19"/>
      <c r="Q982" s="19"/>
      <c r="R982" s="19"/>
      <c r="S982" s="19"/>
      <c r="T982" s="19"/>
      <c r="U982" s="19"/>
      <c r="V982" s="19"/>
    </row>
    <row r="983" spans="3:22" ht="15">
      <c r="C983" s="118"/>
      <c r="D983" s="25"/>
      <c r="E983" s="25"/>
      <c r="F983" s="25"/>
      <c r="G983" s="104"/>
      <c r="H983" s="25"/>
      <c r="I983" s="25"/>
      <c r="J983" s="25"/>
      <c r="L983" s="25"/>
      <c r="O983" s="104"/>
      <c r="P983" s="19"/>
      <c r="Q983" s="19"/>
      <c r="R983" s="19"/>
      <c r="S983" s="19"/>
      <c r="T983" s="19"/>
      <c r="U983" s="19"/>
      <c r="V983" s="19"/>
    </row>
    <row r="984" spans="3:22" ht="15">
      <c r="C984" s="118"/>
      <c r="D984" s="25"/>
      <c r="E984" s="25"/>
      <c r="F984" s="25"/>
      <c r="G984" s="104"/>
      <c r="H984" s="25"/>
      <c r="I984" s="25"/>
      <c r="J984" s="25"/>
      <c r="L984" s="25"/>
      <c r="O984" s="104"/>
      <c r="P984" s="19"/>
      <c r="Q984" s="19"/>
      <c r="R984" s="19"/>
      <c r="S984" s="19"/>
      <c r="T984" s="19"/>
      <c r="U984" s="19"/>
      <c r="V984" s="19"/>
    </row>
    <row r="985" spans="3:22" ht="15">
      <c r="C985" s="118"/>
      <c r="D985" s="25"/>
      <c r="E985" s="25"/>
      <c r="F985" s="25"/>
      <c r="G985" s="104"/>
      <c r="H985" s="25"/>
      <c r="I985" s="25"/>
      <c r="J985" s="25"/>
      <c r="L985" s="25"/>
      <c r="O985" s="104"/>
      <c r="P985" s="19"/>
      <c r="Q985" s="19"/>
      <c r="R985" s="19"/>
      <c r="S985" s="19"/>
      <c r="T985" s="19"/>
      <c r="U985" s="19"/>
      <c r="V985" s="19"/>
    </row>
    <row r="986" spans="3:22" ht="15">
      <c r="C986" s="118"/>
      <c r="D986" s="25"/>
      <c r="E986" s="25"/>
      <c r="F986" s="25"/>
      <c r="G986" s="104"/>
      <c r="H986" s="25"/>
      <c r="I986" s="25"/>
      <c r="J986" s="25"/>
      <c r="L986" s="25"/>
      <c r="O986" s="104"/>
      <c r="P986" s="19"/>
      <c r="Q986" s="19"/>
      <c r="R986" s="19"/>
      <c r="S986" s="19"/>
      <c r="T986" s="19"/>
      <c r="U986" s="19"/>
      <c r="V986" s="19"/>
    </row>
    <row r="987" spans="3:22" ht="15">
      <c r="C987" s="118"/>
      <c r="D987" s="25"/>
      <c r="E987" s="25"/>
      <c r="F987" s="25"/>
      <c r="G987" s="104"/>
      <c r="H987" s="25"/>
      <c r="I987" s="25"/>
      <c r="J987" s="25"/>
      <c r="L987" s="25"/>
      <c r="O987" s="104"/>
      <c r="P987" s="19"/>
      <c r="Q987" s="19"/>
      <c r="R987" s="19"/>
      <c r="S987" s="19"/>
      <c r="T987" s="19"/>
      <c r="U987" s="19"/>
      <c r="V987" s="19"/>
    </row>
    <row r="988" spans="3:22" ht="15">
      <c r="C988" s="118"/>
      <c r="D988" s="25"/>
      <c r="E988" s="25"/>
      <c r="F988" s="25"/>
      <c r="G988" s="104"/>
      <c r="H988" s="25"/>
      <c r="I988" s="25"/>
      <c r="J988" s="25"/>
      <c r="L988" s="25"/>
      <c r="O988" s="104"/>
      <c r="P988" s="19"/>
      <c r="Q988" s="19"/>
      <c r="R988" s="19"/>
      <c r="S988" s="19"/>
      <c r="T988" s="19"/>
      <c r="U988" s="19"/>
      <c r="V988" s="19"/>
    </row>
    <row r="989" spans="3:22" ht="15">
      <c r="C989" s="118"/>
      <c r="D989" s="25"/>
      <c r="E989" s="25"/>
      <c r="F989" s="25"/>
      <c r="G989" s="104"/>
      <c r="H989" s="25"/>
      <c r="I989" s="25"/>
      <c r="J989" s="25"/>
      <c r="L989" s="25"/>
      <c r="O989" s="104"/>
      <c r="P989" s="19"/>
      <c r="Q989" s="19"/>
      <c r="R989" s="19"/>
      <c r="S989" s="19"/>
      <c r="T989" s="19"/>
      <c r="U989" s="19"/>
      <c r="V989" s="19"/>
    </row>
    <row r="990" spans="3:22" ht="15">
      <c r="C990" s="118"/>
      <c r="D990" s="25"/>
      <c r="E990" s="25"/>
      <c r="F990" s="25"/>
      <c r="G990" s="104"/>
      <c r="H990" s="25"/>
      <c r="I990" s="25"/>
      <c r="J990" s="25"/>
      <c r="L990" s="25"/>
      <c r="O990" s="104"/>
      <c r="P990" s="19"/>
      <c r="Q990" s="19"/>
      <c r="R990" s="19"/>
      <c r="S990" s="19"/>
      <c r="T990" s="19"/>
      <c r="U990" s="19"/>
      <c r="V990" s="19"/>
    </row>
    <row r="991" spans="3:22" ht="15">
      <c r="C991" s="118"/>
      <c r="D991" s="25"/>
      <c r="E991" s="25"/>
      <c r="F991" s="25"/>
      <c r="G991" s="104"/>
      <c r="H991" s="25"/>
      <c r="I991" s="25"/>
      <c r="J991" s="25"/>
      <c r="L991" s="25"/>
      <c r="O991" s="104"/>
      <c r="P991" s="19"/>
      <c r="Q991" s="19"/>
      <c r="R991" s="19"/>
      <c r="S991" s="19"/>
      <c r="T991" s="19"/>
      <c r="U991" s="19"/>
      <c r="V991" s="19"/>
    </row>
    <row r="992" spans="3:22" ht="15">
      <c r="C992" s="118"/>
      <c r="D992" s="25"/>
      <c r="E992" s="25"/>
      <c r="F992" s="25"/>
      <c r="G992" s="104"/>
      <c r="H992" s="25"/>
      <c r="I992" s="25"/>
      <c r="J992" s="25"/>
      <c r="L992" s="25"/>
      <c r="O992" s="104"/>
      <c r="P992" s="19"/>
      <c r="Q992" s="19"/>
      <c r="R992" s="19"/>
      <c r="S992" s="19"/>
      <c r="T992" s="19"/>
      <c r="U992" s="19"/>
      <c r="V992" s="19"/>
    </row>
    <row r="993" spans="3:22" ht="15">
      <c r="C993" s="118"/>
      <c r="D993" s="25"/>
      <c r="E993" s="25"/>
      <c r="F993" s="25"/>
      <c r="G993" s="104"/>
      <c r="H993" s="25"/>
      <c r="I993" s="25"/>
      <c r="J993" s="25"/>
      <c r="L993" s="25"/>
      <c r="O993" s="104"/>
      <c r="P993" s="19"/>
      <c r="Q993" s="19"/>
      <c r="R993" s="19"/>
      <c r="S993" s="19"/>
      <c r="T993" s="19"/>
      <c r="U993" s="19"/>
      <c r="V993" s="19"/>
    </row>
    <row r="994" spans="3:22" ht="15">
      <c r="C994" s="118"/>
      <c r="D994" s="25"/>
      <c r="E994" s="25"/>
      <c r="F994" s="25"/>
      <c r="G994" s="104"/>
      <c r="H994" s="25"/>
      <c r="I994" s="25"/>
      <c r="J994" s="25"/>
      <c r="L994" s="25"/>
      <c r="O994" s="104"/>
      <c r="P994" s="19"/>
      <c r="Q994" s="19"/>
      <c r="R994" s="19"/>
      <c r="S994" s="19"/>
      <c r="T994" s="19"/>
      <c r="U994" s="19"/>
      <c r="V994" s="19"/>
    </row>
    <row r="995" spans="3:22" ht="15">
      <c r="C995" s="118"/>
      <c r="D995" s="25"/>
      <c r="E995" s="25"/>
      <c r="F995" s="25"/>
      <c r="G995" s="104"/>
      <c r="H995" s="25"/>
      <c r="I995" s="25"/>
      <c r="J995" s="25"/>
      <c r="L995" s="25"/>
      <c r="O995" s="104"/>
      <c r="P995" s="19"/>
      <c r="Q995" s="19"/>
      <c r="R995" s="19"/>
      <c r="S995" s="19"/>
      <c r="T995" s="19"/>
      <c r="U995" s="19"/>
      <c r="V995" s="19"/>
    </row>
    <row r="996" spans="3:22" ht="15">
      <c r="C996" s="118"/>
      <c r="D996" s="25"/>
      <c r="E996" s="25"/>
      <c r="F996" s="25"/>
      <c r="G996" s="104"/>
      <c r="H996" s="25"/>
      <c r="I996" s="25"/>
      <c r="J996" s="25"/>
      <c r="L996" s="25"/>
      <c r="O996" s="104"/>
      <c r="P996" s="19"/>
      <c r="Q996" s="19"/>
      <c r="R996" s="19"/>
      <c r="S996" s="19"/>
      <c r="T996" s="19"/>
      <c r="U996" s="19"/>
      <c r="V996" s="19"/>
    </row>
    <row r="997" spans="3:22" ht="15">
      <c r="C997" s="118"/>
      <c r="D997" s="25"/>
      <c r="E997" s="25"/>
      <c r="F997" s="25"/>
      <c r="G997" s="104"/>
      <c r="H997" s="25"/>
      <c r="I997" s="25"/>
      <c r="J997" s="25"/>
      <c r="L997" s="25"/>
      <c r="O997" s="104"/>
      <c r="P997" s="19"/>
      <c r="Q997" s="19"/>
      <c r="R997" s="19"/>
      <c r="S997" s="19"/>
      <c r="T997" s="19"/>
      <c r="U997" s="19"/>
      <c r="V997" s="19"/>
    </row>
    <row r="998" spans="3:22" ht="15">
      <c r="C998" s="118"/>
      <c r="D998" s="25"/>
      <c r="E998" s="25"/>
      <c r="F998" s="25"/>
      <c r="G998" s="104"/>
      <c r="H998" s="25"/>
      <c r="I998" s="25"/>
      <c r="J998" s="25"/>
      <c r="L998" s="25"/>
      <c r="O998" s="104"/>
      <c r="P998" s="19"/>
      <c r="Q998" s="19"/>
      <c r="R998" s="19"/>
      <c r="S998" s="19"/>
      <c r="T998" s="19"/>
      <c r="U998" s="19"/>
      <c r="V998" s="19"/>
    </row>
    <row r="999" spans="3:22" ht="15">
      <c r="C999" s="118"/>
      <c r="D999" s="25"/>
      <c r="E999" s="25"/>
      <c r="F999" s="25"/>
      <c r="G999" s="104"/>
      <c r="H999" s="25"/>
      <c r="I999" s="25"/>
      <c r="J999" s="25"/>
      <c r="L999" s="25"/>
      <c r="O999" s="104"/>
      <c r="P999" s="19"/>
      <c r="Q999" s="19"/>
      <c r="R999" s="19"/>
      <c r="S999" s="19"/>
      <c r="T999" s="19"/>
      <c r="U999" s="19"/>
      <c r="V999" s="19"/>
    </row>
    <row r="1000" spans="3:22" ht="15">
      <c r="C1000" s="118"/>
      <c r="D1000" s="25"/>
      <c r="E1000" s="25"/>
      <c r="F1000" s="25"/>
      <c r="G1000" s="104"/>
      <c r="H1000" s="25"/>
      <c r="I1000" s="25"/>
      <c r="J1000" s="25"/>
      <c r="L1000" s="25"/>
      <c r="O1000" s="104"/>
      <c r="P1000" s="19"/>
      <c r="Q1000" s="19"/>
      <c r="R1000" s="19"/>
      <c r="S1000" s="19"/>
      <c r="T1000" s="19"/>
      <c r="U1000" s="19"/>
      <c r="V1000" s="19"/>
    </row>
    <row r="1001" spans="3:22" ht="15">
      <c r="C1001" s="118"/>
      <c r="D1001" s="25"/>
      <c r="E1001" s="25"/>
      <c r="F1001" s="25"/>
      <c r="G1001" s="104"/>
      <c r="H1001" s="25"/>
      <c r="I1001" s="25"/>
      <c r="J1001" s="25"/>
      <c r="L1001" s="25"/>
      <c r="O1001" s="104"/>
      <c r="P1001" s="19"/>
      <c r="Q1001" s="19"/>
      <c r="R1001" s="19"/>
      <c r="S1001" s="19"/>
      <c r="T1001" s="19"/>
      <c r="U1001" s="19"/>
      <c r="V1001" s="19"/>
    </row>
    <row r="1002" spans="3:22" ht="15">
      <c r="C1002" s="118"/>
      <c r="D1002" s="25"/>
      <c r="E1002" s="25"/>
      <c r="F1002" s="25"/>
      <c r="G1002" s="104"/>
      <c r="H1002" s="25"/>
      <c r="I1002" s="25"/>
      <c r="J1002" s="25"/>
      <c r="L1002" s="25"/>
      <c r="O1002" s="104"/>
      <c r="P1002" s="19"/>
      <c r="Q1002" s="19"/>
      <c r="R1002" s="19"/>
      <c r="S1002" s="19"/>
      <c r="T1002" s="19"/>
      <c r="U1002" s="19"/>
      <c r="V1002" s="19"/>
    </row>
    <row r="1003" spans="3:22" ht="15">
      <c r="C1003" s="118"/>
      <c r="D1003" s="25"/>
      <c r="E1003" s="25"/>
      <c r="F1003" s="25"/>
      <c r="G1003" s="104"/>
      <c r="H1003" s="25"/>
      <c r="I1003" s="25"/>
      <c r="J1003" s="25"/>
      <c r="L1003" s="25"/>
      <c r="O1003" s="104"/>
      <c r="P1003" s="19"/>
      <c r="Q1003" s="19"/>
      <c r="R1003" s="19"/>
      <c r="S1003" s="19"/>
      <c r="T1003" s="19"/>
      <c r="U1003" s="19"/>
      <c r="V1003" s="19"/>
    </row>
    <row r="1004" spans="3:22" ht="15">
      <c r="C1004" s="118"/>
      <c r="D1004" s="25"/>
      <c r="E1004" s="25"/>
      <c r="F1004" s="25"/>
      <c r="G1004" s="104"/>
      <c r="H1004" s="25"/>
      <c r="I1004" s="25"/>
      <c r="J1004" s="25"/>
      <c r="L1004" s="25"/>
      <c r="O1004" s="104"/>
      <c r="P1004" s="19"/>
      <c r="Q1004" s="19"/>
      <c r="R1004" s="19"/>
      <c r="S1004" s="19"/>
      <c r="T1004" s="19"/>
      <c r="U1004" s="19"/>
      <c r="V1004" s="19"/>
    </row>
    <row r="1005" spans="3:22" ht="15">
      <c r="C1005" s="118"/>
      <c r="D1005" s="25"/>
      <c r="E1005" s="25"/>
      <c r="F1005" s="25"/>
      <c r="G1005" s="104"/>
      <c r="H1005" s="25"/>
      <c r="I1005" s="25"/>
      <c r="J1005" s="25"/>
      <c r="L1005" s="25"/>
      <c r="O1005" s="104"/>
      <c r="P1005" s="19"/>
      <c r="Q1005" s="19"/>
      <c r="R1005" s="19"/>
      <c r="S1005" s="19"/>
      <c r="T1005" s="19"/>
      <c r="U1005" s="19"/>
      <c r="V1005" s="19"/>
    </row>
    <row r="1006" spans="3:22" ht="15">
      <c r="C1006" s="118"/>
      <c r="D1006" s="25"/>
      <c r="E1006" s="25"/>
      <c r="F1006" s="25"/>
      <c r="G1006" s="104"/>
      <c r="H1006" s="25"/>
      <c r="I1006" s="25"/>
      <c r="J1006" s="25"/>
      <c r="L1006" s="25"/>
      <c r="O1006" s="104"/>
      <c r="P1006" s="19"/>
      <c r="Q1006" s="19"/>
      <c r="R1006" s="19"/>
      <c r="S1006" s="19"/>
      <c r="T1006" s="19"/>
      <c r="U1006" s="19"/>
      <c r="V1006" s="19"/>
    </row>
    <row r="1007" spans="3:22" ht="15">
      <c r="C1007" s="118"/>
      <c r="D1007" s="25"/>
      <c r="E1007" s="25"/>
      <c r="F1007" s="25"/>
      <c r="G1007" s="104"/>
      <c r="H1007" s="25"/>
      <c r="I1007" s="25"/>
      <c r="J1007" s="25"/>
      <c r="L1007" s="25"/>
      <c r="O1007" s="104"/>
      <c r="P1007" s="19"/>
      <c r="Q1007" s="19"/>
      <c r="R1007" s="19"/>
      <c r="S1007" s="19"/>
      <c r="T1007" s="19"/>
      <c r="U1007" s="19"/>
      <c r="V1007" s="19"/>
    </row>
    <row r="1008" spans="3:22" ht="15">
      <c r="C1008" s="118"/>
      <c r="D1008" s="25"/>
      <c r="E1008" s="25"/>
      <c r="F1008" s="25"/>
      <c r="G1008" s="104"/>
      <c r="H1008" s="25"/>
      <c r="I1008" s="25"/>
      <c r="J1008" s="25"/>
      <c r="L1008" s="25"/>
      <c r="O1008" s="104"/>
      <c r="P1008" s="19"/>
      <c r="Q1008" s="19"/>
      <c r="R1008" s="19"/>
      <c r="S1008" s="19"/>
      <c r="T1008" s="19"/>
      <c r="U1008" s="19"/>
      <c r="V1008" s="19"/>
    </row>
    <row r="1009" spans="3:22" ht="15">
      <c r="C1009" s="118"/>
      <c r="D1009" s="25"/>
      <c r="E1009" s="25"/>
      <c r="F1009" s="25"/>
      <c r="G1009" s="104"/>
      <c r="H1009" s="25"/>
      <c r="I1009" s="25"/>
      <c r="J1009" s="25"/>
      <c r="L1009" s="25"/>
      <c r="O1009" s="104"/>
      <c r="P1009" s="19"/>
      <c r="Q1009" s="19"/>
      <c r="R1009" s="19"/>
      <c r="S1009" s="19"/>
      <c r="T1009" s="19"/>
      <c r="U1009" s="19"/>
      <c r="V1009" s="19"/>
    </row>
    <row r="1010" spans="3:22" ht="15">
      <c r="C1010" s="118"/>
      <c r="D1010" s="25"/>
      <c r="E1010" s="25"/>
      <c r="F1010" s="25"/>
      <c r="G1010" s="104"/>
      <c r="H1010" s="25"/>
      <c r="I1010" s="25"/>
      <c r="J1010" s="25"/>
      <c r="L1010" s="25"/>
      <c r="O1010" s="104"/>
      <c r="P1010" s="19"/>
      <c r="Q1010" s="19"/>
      <c r="R1010" s="19"/>
      <c r="S1010" s="19"/>
      <c r="T1010" s="19"/>
      <c r="U1010" s="19"/>
      <c r="V1010" s="19"/>
    </row>
    <row r="1011" spans="3:22" ht="15">
      <c r="C1011" s="118"/>
      <c r="D1011" s="25"/>
      <c r="E1011" s="25"/>
      <c r="F1011" s="25"/>
      <c r="G1011" s="104"/>
      <c r="H1011" s="25"/>
      <c r="I1011" s="25"/>
      <c r="J1011" s="25"/>
      <c r="L1011" s="25"/>
      <c r="O1011" s="104"/>
      <c r="P1011" s="19"/>
      <c r="Q1011" s="19"/>
      <c r="R1011" s="19"/>
      <c r="S1011" s="19"/>
      <c r="T1011" s="19"/>
      <c r="U1011" s="19"/>
      <c r="V1011" s="19"/>
    </row>
    <row r="1012" spans="3:22" ht="15">
      <c r="C1012" s="118"/>
      <c r="D1012" s="25"/>
      <c r="E1012" s="25"/>
      <c r="F1012" s="25"/>
      <c r="G1012" s="104"/>
      <c r="H1012" s="25"/>
      <c r="I1012" s="25"/>
      <c r="J1012" s="25"/>
      <c r="L1012" s="25"/>
      <c r="O1012" s="104"/>
      <c r="P1012" s="19"/>
      <c r="Q1012" s="19"/>
      <c r="R1012" s="19"/>
      <c r="S1012" s="19"/>
      <c r="T1012" s="19"/>
      <c r="U1012" s="19"/>
      <c r="V1012" s="19"/>
    </row>
    <row r="1013" spans="3:22" ht="15">
      <c r="C1013" s="118"/>
      <c r="D1013" s="25"/>
      <c r="E1013" s="25"/>
      <c r="F1013" s="25"/>
      <c r="G1013" s="104"/>
      <c r="H1013" s="25"/>
      <c r="I1013" s="25"/>
      <c r="J1013" s="25"/>
      <c r="L1013" s="25"/>
      <c r="O1013" s="104"/>
      <c r="P1013" s="19"/>
      <c r="Q1013" s="19"/>
      <c r="R1013" s="19"/>
      <c r="S1013" s="19"/>
      <c r="T1013" s="19"/>
      <c r="U1013" s="19"/>
      <c r="V1013" s="19"/>
    </row>
    <row r="1014" spans="3:22" ht="15">
      <c r="C1014" s="118"/>
      <c r="D1014" s="25"/>
      <c r="E1014" s="25"/>
      <c r="F1014" s="25"/>
      <c r="G1014" s="104"/>
      <c r="H1014" s="25"/>
      <c r="I1014" s="25"/>
      <c r="J1014" s="25"/>
      <c r="L1014" s="25"/>
      <c r="O1014" s="104"/>
      <c r="P1014" s="19"/>
      <c r="Q1014" s="19"/>
      <c r="R1014" s="19"/>
      <c r="S1014" s="19"/>
      <c r="T1014" s="19"/>
      <c r="U1014" s="19"/>
      <c r="V1014" s="19"/>
    </row>
    <row r="1015" spans="3:22" ht="15">
      <c r="C1015" s="118"/>
      <c r="D1015" s="25"/>
      <c r="E1015" s="25"/>
      <c r="F1015" s="25"/>
      <c r="G1015" s="104"/>
      <c r="H1015" s="25"/>
      <c r="I1015" s="25"/>
      <c r="J1015" s="25"/>
      <c r="L1015" s="25"/>
      <c r="O1015" s="104"/>
      <c r="P1015" s="19"/>
      <c r="Q1015" s="19"/>
      <c r="R1015" s="19"/>
      <c r="S1015" s="19"/>
      <c r="T1015" s="19"/>
      <c r="U1015" s="19"/>
      <c r="V1015" s="19"/>
    </row>
    <row r="1016" spans="3:22" ht="15">
      <c r="C1016" s="118"/>
      <c r="D1016" s="25"/>
      <c r="E1016" s="25"/>
      <c r="F1016" s="25"/>
      <c r="G1016" s="104"/>
      <c r="H1016" s="25"/>
      <c r="I1016" s="25"/>
      <c r="J1016" s="25"/>
      <c r="L1016" s="25"/>
      <c r="O1016" s="104"/>
      <c r="P1016" s="19"/>
      <c r="Q1016" s="19"/>
      <c r="R1016" s="19"/>
      <c r="S1016" s="19"/>
      <c r="T1016" s="19"/>
      <c r="U1016" s="19"/>
      <c r="V1016" s="19"/>
    </row>
    <row r="1017" spans="3:22" ht="15">
      <c r="C1017" s="118"/>
      <c r="D1017" s="25"/>
      <c r="E1017" s="25"/>
      <c r="F1017" s="25"/>
      <c r="G1017" s="104"/>
      <c r="H1017" s="25"/>
      <c r="I1017" s="25"/>
      <c r="J1017" s="25"/>
      <c r="L1017" s="25"/>
      <c r="O1017" s="104"/>
      <c r="P1017" s="19"/>
      <c r="Q1017" s="19"/>
      <c r="R1017" s="19"/>
      <c r="S1017" s="19"/>
      <c r="T1017" s="19"/>
      <c r="U1017" s="19"/>
      <c r="V1017" s="19"/>
    </row>
    <row r="1018" spans="3:22" ht="15">
      <c r="C1018" s="118"/>
      <c r="D1018" s="25"/>
      <c r="E1018" s="25"/>
      <c r="F1018" s="25"/>
      <c r="G1018" s="104"/>
      <c r="H1018" s="25"/>
      <c r="I1018" s="25"/>
      <c r="J1018" s="25"/>
      <c r="L1018" s="25"/>
      <c r="O1018" s="104"/>
      <c r="P1018" s="19"/>
      <c r="Q1018" s="19"/>
      <c r="R1018" s="19"/>
      <c r="S1018" s="19"/>
      <c r="T1018" s="19"/>
      <c r="U1018" s="19"/>
      <c r="V1018" s="19"/>
    </row>
    <row r="1019" spans="3:22" ht="15">
      <c r="C1019" s="118"/>
      <c r="D1019" s="25"/>
      <c r="E1019" s="25"/>
      <c r="F1019" s="25"/>
      <c r="G1019" s="104"/>
      <c r="H1019" s="25"/>
      <c r="I1019" s="25"/>
      <c r="J1019" s="25"/>
      <c r="L1019" s="25"/>
      <c r="O1019" s="104"/>
      <c r="P1019" s="19"/>
      <c r="Q1019" s="19"/>
      <c r="R1019" s="19"/>
      <c r="S1019" s="19"/>
      <c r="T1019" s="19"/>
      <c r="U1019" s="19"/>
      <c r="V1019" s="19"/>
    </row>
    <row r="1020" spans="3:22" ht="15">
      <c r="C1020" s="118"/>
      <c r="D1020" s="25"/>
      <c r="E1020" s="25"/>
      <c r="F1020" s="25"/>
      <c r="G1020" s="104"/>
      <c r="H1020" s="25"/>
      <c r="I1020" s="25"/>
      <c r="J1020" s="25"/>
      <c r="L1020" s="25"/>
      <c r="O1020" s="104"/>
      <c r="P1020" s="19"/>
      <c r="Q1020" s="19"/>
      <c r="R1020" s="19"/>
      <c r="S1020" s="19"/>
      <c r="T1020" s="19"/>
      <c r="U1020" s="19"/>
      <c r="V1020" s="19"/>
    </row>
    <row r="1021" spans="3:22" ht="15">
      <c r="C1021" s="118"/>
      <c r="D1021" s="25"/>
      <c r="E1021" s="25"/>
      <c r="F1021" s="25"/>
      <c r="G1021" s="104"/>
      <c r="H1021" s="25"/>
      <c r="I1021" s="25"/>
      <c r="J1021" s="25"/>
      <c r="L1021" s="25"/>
      <c r="O1021" s="104"/>
      <c r="P1021" s="19"/>
      <c r="Q1021" s="19"/>
      <c r="R1021" s="19"/>
      <c r="S1021" s="19"/>
      <c r="T1021" s="19"/>
      <c r="U1021" s="19"/>
      <c r="V1021" s="19"/>
    </row>
    <row r="1022" spans="3:22" ht="15">
      <c r="C1022" s="118"/>
      <c r="D1022" s="25"/>
      <c r="E1022" s="25"/>
      <c r="F1022" s="25"/>
      <c r="G1022" s="104"/>
      <c r="H1022" s="25"/>
      <c r="I1022" s="25"/>
      <c r="J1022" s="25"/>
      <c r="L1022" s="25"/>
      <c r="O1022" s="104"/>
      <c r="P1022" s="19"/>
      <c r="Q1022" s="19"/>
      <c r="R1022" s="19"/>
      <c r="S1022" s="19"/>
      <c r="T1022" s="19"/>
      <c r="U1022" s="19"/>
      <c r="V1022" s="19"/>
    </row>
    <row r="1023" spans="3:22" ht="15">
      <c r="C1023" s="118"/>
      <c r="D1023" s="25"/>
      <c r="E1023" s="25"/>
      <c r="F1023" s="25"/>
      <c r="G1023" s="104"/>
      <c r="H1023" s="25"/>
      <c r="I1023" s="25"/>
      <c r="J1023" s="25"/>
      <c r="L1023" s="25"/>
      <c r="O1023" s="104"/>
      <c r="P1023" s="19"/>
      <c r="Q1023" s="19"/>
      <c r="R1023" s="19"/>
      <c r="S1023" s="19"/>
      <c r="T1023" s="19"/>
      <c r="U1023" s="19"/>
      <c r="V1023" s="19"/>
    </row>
    <row r="1024" spans="3:22" ht="15">
      <c r="C1024" s="118"/>
      <c r="D1024" s="25"/>
      <c r="E1024" s="25"/>
      <c r="F1024" s="25"/>
      <c r="G1024" s="104"/>
      <c r="H1024" s="25"/>
      <c r="I1024" s="25"/>
      <c r="J1024" s="25"/>
      <c r="L1024" s="25"/>
      <c r="O1024" s="104"/>
      <c r="P1024" s="19"/>
      <c r="Q1024" s="19"/>
      <c r="R1024" s="19"/>
      <c r="S1024" s="19"/>
      <c r="T1024" s="19"/>
      <c r="U1024" s="19"/>
      <c r="V1024" s="19"/>
    </row>
    <row r="1025" spans="3:22" ht="15">
      <c r="C1025" s="118"/>
      <c r="D1025" s="25"/>
      <c r="E1025" s="25"/>
      <c r="F1025" s="25"/>
      <c r="G1025" s="104"/>
      <c r="H1025" s="25"/>
      <c r="I1025" s="25"/>
      <c r="J1025" s="25"/>
      <c r="L1025" s="25"/>
      <c r="O1025" s="104"/>
      <c r="P1025" s="19"/>
      <c r="Q1025" s="19"/>
      <c r="R1025" s="19"/>
      <c r="S1025" s="19"/>
      <c r="T1025" s="19"/>
      <c r="U1025" s="19"/>
      <c r="V1025" s="19"/>
    </row>
    <row r="1026" spans="3:22" ht="15">
      <c r="C1026" s="118"/>
      <c r="D1026" s="25"/>
      <c r="E1026" s="25"/>
      <c r="F1026" s="25"/>
      <c r="G1026" s="104"/>
      <c r="H1026" s="25"/>
      <c r="I1026" s="25"/>
      <c r="J1026" s="25"/>
      <c r="L1026" s="25"/>
      <c r="O1026" s="104"/>
      <c r="P1026" s="19"/>
      <c r="Q1026" s="19"/>
      <c r="R1026" s="19"/>
      <c r="S1026" s="19"/>
      <c r="T1026" s="19"/>
      <c r="U1026" s="19"/>
      <c r="V1026" s="19"/>
    </row>
    <row r="1027" spans="3:22" ht="15">
      <c r="C1027" s="118"/>
      <c r="D1027" s="25"/>
      <c r="E1027" s="25"/>
      <c r="F1027" s="25"/>
      <c r="G1027" s="104"/>
      <c r="H1027" s="25"/>
      <c r="I1027" s="25"/>
      <c r="J1027" s="25"/>
      <c r="L1027" s="25"/>
      <c r="O1027" s="104"/>
      <c r="P1027" s="19"/>
      <c r="Q1027" s="19"/>
      <c r="R1027" s="19"/>
      <c r="S1027" s="19"/>
      <c r="T1027" s="19"/>
      <c r="U1027" s="19"/>
      <c r="V1027" s="19"/>
    </row>
    <row r="1028" spans="3:22" ht="15">
      <c r="C1028" s="118"/>
      <c r="D1028" s="25"/>
      <c r="E1028" s="25"/>
      <c r="F1028" s="25"/>
      <c r="G1028" s="104"/>
      <c r="H1028" s="25"/>
      <c r="I1028" s="25"/>
      <c r="J1028" s="25"/>
      <c r="L1028" s="25"/>
      <c r="O1028" s="104"/>
      <c r="P1028" s="19"/>
      <c r="Q1028" s="19"/>
      <c r="R1028" s="19"/>
      <c r="S1028" s="19"/>
      <c r="T1028" s="19"/>
      <c r="U1028" s="19"/>
      <c r="V1028" s="19"/>
    </row>
    <row r="1029" spans="3:22" ht="15">
      <c r="C1029" s="118"/>
      <c r="D1029" s="25"/>
      <c r="E1029" s="25"/>
      <c r="F1029" s="25"/>
      <c r="G1029" s="104"/>
      <c r="H1029" s="25"/>
      <c r="I1029" s="25"/>
      <c r="J1029" s="25"/>
      <c r="L1029" s="25"/>
      <c r="O1029" s="104"/>
      <c r="P1029" s="19"/>
      <c r="Q1029" s="19"/>
      <c r="R1029" s="19"/>
      <c r="S1029" s="19"/>
      <c r="T1029" s="19"/>
      <c r="U1029" s="19"/>
      <c r="V1029" s="19"/>
    </row>
    <row r="1030" spans="3:22" ht="15">
      <c r="C1030" s="118"/>
      <c r="D1030" s="25"/>
      <c r="E1030" s="25"/>
      <c r="F1030" s="25"/>
      <c r="G1030" s="104"/>
      <c r="H1030" s="25"/>
      <c r="I1030" s="25"/>
      <c r="J1030" s="25"/>
      <c r="L1030" s="25"/>
      <c r="O1030" s="104"/>
      <c r="P1030" s="19"/>
      <c r="Q1030" s="19"/>
      <c r="R1030" s="19"/>
      <c r="S1030" s="19"/>
      <c r="T1030" s="19"/>
      <c r="U1030" s="19"/>
      <c r="V1030" s="19"/>
    </row>
    <row r="1031" spans="3:22" ht="15">
      <c r="C1031" s="118"/>
      <c r="D1031" s="25"/>
      <c r="E1031" s="25"/>
      <c r="F1031" s="25"/>
      <c r="G1031" s="104"/>
      <c r="H1031" s="25"/>
      <c r="I1031" s="25"/>
      <c r="J1031" s="25"/>
      <c r="L1031" s="25"/>
      <c r="O1031" s="104"/>
      <c r="P1031" s="19"/>
      <c r="Q1031" s="19"/>
      <c r="R1031" s="19"/>
      <c r="S1031" s="19"/>
      <c r="T1031" s="19"/>
      <c r="U1031" s="19"/>
      <c r="V1031" s="19"/>
    </row>
    <row r="1032" spans="3:22" ht="15">
      <c r="C1032" s="118"/>
      <c r="D1032" s="25"/>
      <c r="E1032" s="25"/>
      <c r="F1032" s="25"/>
      <c r="G1032" s="104"/>
      <c r="H1032" s="25"/>
      <c r="I1032" s="25"/>
      <c r="J1032" s="25"/>
      <c r="L1032" s="25"/>
      <c r="O1032" s="104"/>
      <c r="P1032" s="19"/>
      <c r="Q1032" s="19"/>
      <c r="R1032" s="19"/>
      <c r="S1032" s="19"/>
      <c r="T1032" s="19"/>
      <c r="U1032" s="19"/>
      <c r="V1032" s="19"/>
    </row>
    <row r="1033" spans="3:22" ht="15">
      <c r="C1033" s="118"/>
      <c r="D1033" s="25"/>
      <c r="E1033" s="25"/>
      <c r="F1033" s="25"/>
      <c r="G1033" s="104"/>
      <c r="H1033" s="25"/>
      <c r="I1033" s="25"/>
      <c r="J1033" s="25"/>
      <c r="L1033" s="25"/>
      <c r="O1033" s="104"/>
      <c r="P1033" s="19"/>
      <c r="Q1033" s="19"/>
      <c r="R1033" s="19"/>
      <c r="S1033" s="19"/>
      <c r="T1033" s="19"/>
      <c r="U1033" s="19"/>
      <c r="V1033" s="19"/>
    </row>
    <row r="1034" spans="3:22" ht="15">
      <c r="C1034" s="118"/>
      <c r="D1034" s="25"/>
      <c r="E1034" s="25"/>
      <c r="F1034" s="25"/>
      <c r="G1034" s="104"/>
      <c r="H1034" s="25"/>
      <c r="I1034" s="25"/>
      <c r="J1034" s="25"/>
      <c r="L1034" s="25"/>
      <c r="O1034" s="104"/>
      <c r="P1034" s="19"/>
      <c r="Q1034" s="19"/>
      <c r="R1034" s="19"/>
      <c r="S1034" s="19"/>
      <c r="T1034" s="19"/>
      <c r="U1034" s="19"/>
      <c r="V1034" s="19"/>
    </row>
    <row r="1035" spans="3:22" ht="15">
      <c r="C1035" s="118"/>
      <c r="D1035" s="25"/>
      <c r="E1035" s="25"/>
      <c r="F1035" s="25"/>
      <c r="G1035" s="104"/>
      <c r="H1035" s="25"/>
      <c r="I1035" s="25"/>
      <c r="J1035" s="25"/>
      <c r="L1035" s="25"/>
      <c r="O1035" s="104"/>
      <c r="P1035" s="19"/>
      <c r="Q1035" s="19"/>
      <c r="R1035" s="19"/>
      <c r="S1035" s="19"/>
      <c r="T1035" s="19"/>
      <c r="U1035" s="19"/>
      <c r="V1035" s="19"/>
    </row>
    <row r="1036" spans="3:22" ht="15">
      <c r="C1036" s="118"/>
      <c r="D1036" s="25"/>
      <c r="E1036" s="25"/>
      <c r="F1036" s="25"/>
      <c r="G1036" s="104"/>
      <c r="H1036" s="25"/>
      <c r="I1036" s="25"/>
      <c r="J1036" s="25"/>
      <c r="L1036" s="25"/>
      <c r="O1036" s="104"/>
      <c r="P1036" s="19"/>
      <c r="Q1036" s="19"/>
      <c r="R1036" s="19"/>
      <c r="S1036" s="19"/>
      <c r="T1036" s="19"/>
      <c r="U1036" s="19"/>
      <c r="V1036" s="19"/>
    </row>
    <row r="1037" spans="3:22" ht="15">
      <c r="C1037" s="118"/>
      <c r="D1037" s="25"/>
      <c r="E1037" s="25"/>
      <c r="F1037" s="25"/>
      <c r="G1037" s="104"/>
      <c r="H1037" s="25"/>
      <c r="I1037" s="25"/>
      <c r="J1037" s="25"/>
      <c r="L1037" s="25"/>
      <c r="O1037" s="104"/>
      <c r="P1037" s="19"/>
      <c r="Q1037" s="19"/>
      <c r="R1037" s="19"/>
      <c r="S1037" s="19"/>
      <c r="T1037" s="19"/>
      <c r="U1037" s="19"/>
      <c r="V1037" s="19"/>
    </row>
    <row r="1038" spans="3:22" ht="15">
      <c r="C1038" s="118"/>
      <c r="D1038" s="25"/>
      <c r="E1038" s="25"/>
      <c r="F1038" s="25"/>
      <c r="G1038" s="104"/>
      <c r="H1038" s="25"/>
      <c r="I1038" s="25"/>
      <c r="J1038" s="25"/>
      <c r="L1038" s="25"/>
      <c r="O1038" s="104"/>
      <c r="P1038" s="19"/>
      <c r="Q1038" s="19"/>
      <c r="R1038" s="19"/>
      <c r="S1038" s="19"/>
      <c r="T1038" s="19"/>
      <c r="U1038" s="19"/>
      <c r="V1038" s="19"/>
    </row>
    <row r="1039" spans="3:22" ht="15">
      <c r="C1039" s="118"/>
      <c r="D1039" s="25"/>
      <c r="E1039" s="25"/>
      <c r="F1039" s="25"/>
      <c r="G1039" s="104"/>
      <c r="H1039" s="25"/>
      <c r="I1039" s="25"/>
      <c r="J1039" s="25"/>
      <c r="L1039" s="25"/>
      <c r="O1039" s="104"/>
      <c r="P1039" s="19"/>
      <c r="Q1039" s="19"/>
      <c r="R1039" s="19"/>
      <c r="S1039" s="19"/>
      <c r="T1039" s="19"/>
      <c r="U1039" s="19"/>
      <c r="V1039" s="19"/>
    </row>
    <row r="1040" spans="3:22" ht="15">
      <c r="C1040" s="118"/>
      <c r="D1040" s="25"/>
      <c r="E1040" s="25"/>
      <c r="F1040" s="25"/>
      <c r="G1040" s="104"/>
      <c r="H1040" s="25"/>
      <c r="I1040" s="25"/>
      <c r="J1040" s="25"/>
      <c r="L1040" s="25"/>
      <c r="O1040" s="104"/>
      <c r="P1040" s="19"/>
      <c r="Q1040" s="19"/>
      <c r="R1040" s="19"/>
      <c r="S1040" s="19"/>
      <c r="T1040" s="19"/>
      <c r="U1040" s="19"/>
      <c r="V1040" s="19"/>
    </row>
    <row r="1041" spans="3:22" ht="15">
      <c r="C1041" s="118"/>
      <c r="D1041" s="25"/>
      <c r="E1041" s="25"/>
      <c r="F1041" s="25"/>
      <c r="G1041" s="104"/>
      <c r="H1041" s="25"/>
      <c r="I1041" s="25"/>
      <c r="J1041" s="25"/>
      <c r="L1041" s="25"/>
      <c r="O1041" s="104"/>
      <c r="P1041" s="19"/>
      <c r="Q1041" s="19"/>
      <c r="R1041" s="19"/>
      <c r="S1041" s="19"/>
      <c r="T1041" s="19"/>
      <c r="U1041" s="19"/>
      <c r="V1041" s="19"/>
    </row>
    <row r="1042" spans="3:22" ht="15">
      <c r="C1042" s="118"/>
      <c r="D1042" s="25"/>
      <c r="E1042" s="25"/>
      <c r="F1042" s="25"/>
      <c r="G1042" s="104"/>
      <c r="H1042" s="25"/>
      <c r="I1042" s="25"/>
      <c r="J1042" s="25"/>
      <c r="L1042" s="25"/>
      <c r="O1042" s="104"/>
      <c r="P1042" s="19"/>
      <c r="Q1042" s="19"/>
      <c r="R1042" s="19"/>
      <c r="S1042" s="19"/>
      <c r="T1042" s="19"/>
      <c r="U1042" s="19"/>
      <c r="V1042" s="19"/>
    </row>
    <row r="1043" spans="3:22" ht="15">
      <c r="C1043" s="118"/>
      <c r="D1043" s="25"/>
      <c r="E1043" s="25"/>
      <c r="F1043" s="25"/>
      <c r="G1043" s="104"/>
      <c r="H1043" s="25"/>
      <c r="I1043" s="25"/>
      <c r="J1043" s="25"/>
      <c r="L1043" s="25"/>
      <c r="O1043" s="104"/>
      <c r="P1043" s="19"/>
      <c r="Q1043" s="19"/>
      <c r="R1043" s="19"/>
      <c r="S1043" s="19"/>
      <c r="T1043" s="19"/>
      <c r="U1043" s="19"/>
      <c r="V1043" s="19"/>
    </row>
    <row r="1044" spans="3:22" ht="15">
      <c r="C1044" s="118"/>
      <c r="D1044" s="25"/>
      <c r="E1044" s="25"/>
      <c r="F1044" s="25"/>
      <c r="G1044" s="104"/>
      <c r="H1044" s="25"/>
      <c r="I1044" s="25"/>
      <c r="J1044" s="25"/>
      <c r="L1044" s="25"/>
      <c r="O1044" s="104"/>
      <c r="P1044" s="19"/>
      <c r="Q1044" s="19"/>
      <c r="R1044" s="19"/>
      <c r="S1044" s="19"/>
      <c r="T1044" s="19"/>
      <c r="U1044" s="19"/>
      <c r="V1044" s="19"/>
    </row>
    <row r="1045" spans="3:22" ht="15">
      <c r="C1045" s="118"/>
      <c r="D1045" s="25"/>
      <c r="E1045" s="25"/>
      <c r="F1045" s="25"/>
      <c r="G1045" s="104"/>
      <c r="H1045" s="25"/>
      <c r="I1045" s="25"/>
      <c r="J1045" s="25"/>
      <c r="L1045" s="25"/>
      <c r="O1045" s="104"/>
      <c r="P1045" s="19"/>
      <c r="Q1045" s="19"/>
      <c r="R1045" s="19"/>
      <c r="S1045" s="19"/>
      <c r="T1045" s="19"/>
      <c r="U1045" s="19"/>
      <c r="V1045" s="19"/>
    </row>
    <row r="1046" spans="3:22" ht="15">
      <c r="C1046" s="118"/>
      <c r="D1046" s="25"/>
      <c r="E1046" s="25"/>
      <c r="F1046" s="25"/>
      <c r="G1046" s="104"/>
      <c r="H1046" s="25"/>
      <c r="I1046" s="25"/>
      <c r="J1046" s="25"/>
      <c r="L1046" s="25"/>
      <c r="O1046" s="104"/>
      <c r="P1046" s="19"/>
      <c r="Q1046" s="19"/>
      <c r="R1046" s="19"/>
      <c r="S1046" s="19"/>
      <c r="T1046" s="19"/>
      <c r="U1046" s="19"/>
      <c r="V1046" s="19"/>
    </row>
    <row r="1047" spans="3:22" ht="15">
      <c r="C1047" s="118"/>
      <c r="D1047" s="25"/>
      <c r="E1047" s="25"/>
      <c r="F1047" s="25"/>
      <c r="G1047" s="104"/>
      <c r="H1047" s="25"/>
      <c r="I1047" s="25"/>
      <c r="J1047" s="25"/>
      <c r="L1047" s="25"/>
      <c r="O1047" s="104"/>
      <c r="P1047" s="19"/>
      <c r="Q1047" s="19"/>
      <c r="R1047" s="19"/>
      <c r="S1047" s="19"/>
      <c r="T1047" s="19"/>
      <c r="U1047" s="19"/>
      <c r="V1047" s="19"/>
    </row>
    <row r="1048" spans="3:22" ht="15">
      <c r="C1048" s="118"/>
      <c r="D1048" s="25"/>
      <c r="E1048" s="25"/>
      <c r="F1048" s="25"/>
      <c r="G1048" s="104"/>
      <c r="H1048" s="25"/>
      <c r="I1048" s="25"/>
      <c r="J1048" s="25"/>
      <c r="L1048" s="25"/>
      <c r="O1048" s="104"/>
      <c r="P1048" s="19"/>
      <c r="Q1048" s="19"/>
      <c r="R1048" s="19"/>
      <c r="S1048" s="19"/>
      <c r="T1048" s="19"/>
      <c r="U1048" s="19"/>
      <c r="V1048" s="19"/>
    </row>
    <row r="1049" spans="3:22" ht="15">
      <c r="C1049" s="118"/>
      <c r="D1049" s="25"/>
      <c r="E1049" s="25"/>
      <c r="F1049" s="25"/>
      <c r="G1049" s="104"/>
      <c r="H1049" s="25"/>
      <c r="I1049" s="25"/>
      <c r="J1049" s="25"/>
      <c r="L1049" s="25"/>
      <c r="O1049" s="104"/>
      <c r="P1049" s="19"/>
      <c r="Q1049" s="19"/>
      <c r="R1049" s="19"/>
      <c r="S1049" s="19"/>
      <c r="T1049" s="19"/>
      <c r="U1049" s="19"/>
      <c r="V1049" s="19"/>
    </row>
    <row r="1050" spans="3:22" ht="15">
      <c r="C1050" s="118"/>
      <c r="D1050" s="25"/>
      <c r="E1050" s="25"/>
      <c r="F1050" s="25"/>
      <c r="G1050" s="104"/>
      <c r="H1050" s="25"/>
      <c r="I1050" s="25"/>
      <c r="J1050" s="25"/>
      <c r="L1050" s="25"/>
      <c r="O1050" s="104"/>
      <c r="P1050" s="19"/>
      <c r="Q1050" s="19"/>
      <c r="R1050" s="19"/>
      <c r="S1050" s="19"/>
      <c r="T1050" s="19"/>
      <c r="U1050" s="19"/>
      <c r="V1050" s="19"/>
    </row>
    <row r="1051" spans="3:22" ht="15">
      <c r="C1051" s="118"/>
      <c r="D1051" s="25"/>
      <c r="E1051" s="25"/>
      <c r="F1051" s="25"/>
      <c r="G1051" s="104"/>
      <c r="H1051" s="25"/>
      <c r="I1051" s="25"/>
      <c r="J1051" s="25"/>
      <c r="L1051" s="25"/>
      <c r="O1051" s="104"/>
      <c r="P1051" s="19"/>
      <c r="Q1051" s="19"/>
      <c r="R1051" s="19"/>
      <c r="S1051" s="19"/>
      <c r="T1051" s="19"/>
      <c r="U1051" s="19"/>
      <c r="V1051" s="19"/>
    </row>
    <row r="1052" spans="3:22" ht="15">
      <c r="C1052" s="118"/>
      <c r="D1052" s="25"/>
      <c r="E1052" s="25"/>
      <c r="F1052" s="25"/>
      <c r="G1052" s="104"/>
      <c r="H1052" s="25"/>
      <c r="I1052" s="25"/>
      <c r="J1052" s="25"/>
      <c r="L1052" s="25"/>
      <c r="O1052" s="104"/>
      <c r="P1052" s="19"/>
      <c r="Q1052" s="19"/>
      <c r="R1052" s="19"/>
      <c r="S1052" s="19"/>
      <c r="T1052" s="19"/>
      <c r="U1052" s="19"/>
      <c r="V1052" s="19"/>
    </row>
    <row r="1053" spans="3:22" ht="15">
      <c r="C1053" s="118"/>
      <c r="D1053" s="25"/>
      <c r="E1053" s="25"/>
      <c r="F1053" s="25"/>
      <c r="G1053" s="104"/>
      <c r="H1053" s="25"/>
      <c r="I1053" s="25"/>
      <c r="J1053" s="25"/>
      <c r="L1053" s="25"/>
      <c r="O1053" s="104"/>
      <c r="P1053" s="19"/>
      <c r="Q1053" s="19"/>
      <c r="R1053" s="19"/>
      <c r="S1053" s="19"/>
      <c r="T1053" s="19"/>
      <c r="U1053" s="19"/>
      <c r="V1053" s="19"/>
    </row>
    <row r="1054" spans="3:22" ht="15">
      <c r="C1054" s="118"/>
      <c r="D1054" s="25"/>
      <c r="E1054" s="25"/>
      <c r="F1054" s="25"/>
      <c r="G1054" s="104"/>
      <c r="H1054" s="25"/>
      <c r="I1054" s="25"/>
      <c r="J1054" s="25"/>
      <c r="L1054" s="25"/>
      <c r="O1054" s="104"/>
      <c r="P1054" s="19"/>
      <c r="Q1054" s="19"/>
      <c r="R1054" s="19"/>
      <c r="S1054" s="19"/>
      <c r="T1054" s="19"/>
      <c r="U1054" s="19"/>
      <c r="V1054" s="19"/>
    </row>
    <row r="1055" spans="3:22" ht="15">
      <c r="C1055" s="118"/>
      <c r="D1055" s="25"/>
      <c r="E1055" s="25"/>
      <c r="F1055" s="25"/>
      <c r="G1055" s="104"/>
      <c r="H1055" s="25"/>
      <c r="I1055" s="25"/>
      <c r="J1055" s="25"/>
      <c r="L1055" s="25"/>
      <c r="O1055" s="104"/>
      <c r="P1055" s="19"/>
      <c r="Q1055" s="19"/>
      <c r="R1055" s="19"/>
      <c r="S1055" s="19"/>
      <c r="T1055" s="19"/>
      <c r="U1055" s="19"/>
      <c r="V1055" s="19"/>
    </row>
    <row r="1056" spans="3:22" ht="15">
      <c r="C1056" s="118"/>
      <c r="D1056" s="25"/>
      <c r="E1056" s="25"/>
      <c r="F1056" s="25"/>
      <c r="G1056" s="104"/>
      <c r="H1056" s="25"/>
      <c r="I1056" s="25"/>
      <c r="J1056" s="25"/>
      <c r="L1056" s="25"/>
      <c r="O1056" s="104"/>
      <c r="P1056" s="19"/>
      <c r="Q1056" s="19"/>
      <c r="R1056" s="19"/>
      <c r="S1056" s="19"/>
      <c r="T1056" s="19"/>
      <c r="U1056" s="19"/>
      <c r="V1056" s="19"/>
    </row>
    <row r="1057" spans="3:22" ht="15">
      <c r="C1057" s="118"/>
      <c r="D1057" s="25"/>
      <c r="E1057" s="25"/>
      <c r="F1057" s="25"/>
      <c r="G1057" s="104"/>
      <c r="H1057" s="25"/>
      <c r="I1057" s="25"/>
      <c r="J1057" s="25"/>
      <c r="L1057" s="25"/>
      <c r="O1057" s="104"/>
      <c r="P1057" s="19"/>
      <c r="Q1057" s="19"/>
      <c r="R1057" s="19"/>
      <c r="S1057" s="19"/>
      <c r="T1057" s="19"/>
      <c r="U1057" s="19"/>
      <c r="V1057" s="19"/>
    </row>
    <row r="1058" spans="3:22" ht="15">
      <c r="C1058" s="118"/>
      <c r="D1058" s="25"/>
      <c r="E1058" s="25"/>
      <c r="F1058" s="25"/>
      <c r="G1058" s="104"/>
      <c r="H1058" s="25"/>
      <c r="I1058" s="25"/>
      <c r="J1058" s="25"/>
      <c r="L1058" s="25"/>
      <c r="O1058" s="104"/>
      <c r="P1058" s="19"/>
      <c r="Q1058" s="19"/>
      <c r="R1058" s="19"/>
      <c r="S1058" s="19"/>
      <c r="T1058" s="19"/>
      <c r="U1058" s="19"/>
      <c r="V1058" s="19"/>
    </row>
    <row r="1059" spans="3:22" ht="15">
      <c r="C1059" s="118"/>
      <c r="D1059" s="25"/>
      <c r="E1059" s="25"/>
      <c r="F1059" s="25"/>
      <c r="G1059" s="104"/>
      <c r="H1059" s="25"/>
      <c r="I1059" s="25"/>
      <c r="J1059" s="25"/>
      <c r="L1059" s="25"/>
      <c r="O1059" s="104"/>
      <c r="P1059" s="19"/>
      <c r="Q1059" s="19"/>
      <c r="R1059" s="19"/>
      <c r="S1059" s="19"/>
      <c r="T1059" s="19"/>
      <c r="U1059" s="19"/>
      <c r="V1059" s="19"/>
    </row>
    <row r="1060" spans="3:22" ht="15">
      <c r="C1060" s="118"/>
      <c r="D1060" s="25"/>
      <c r="E1060" s="25"/>
      <c r="F1060" s="25"/>
      <c r="G1060" s="104"/>
      <c r="H1060" s="25"/>
      <c r="I1060" s="25"/>
      <c r="J1060" s="25"/>
      <c r="L1060" s="25"/>
      <c r="O1060" s="104"/>
      <c r="P1060" s="19"/>
      <c r="Q1060" s="19"/>
      <c r="R1060" s="19"/>
      <c r="S1060" s="19"/>
      <c r="T1060" s="19"/>
      <c r="U1060" s="19"/>
      <c r="V1060" s="19"/>
    </row>
    <row r="1061" spans="3:22" ht="15">
      <c r="C1061" s="118"/>
      <c r="D1061" s="25"/>
      <c r="E1061" s="25"/>
      <c r="F1061" s="25"/>
      <c r="G1061" s="104"/>
      <c r="H1061" s="25"/>
      <c r="I1061" s="25"/>
      <c r="J1061" s="25"/>
      <c r="L1061" s="25"/>
      <c r="O1061" s="104"/>
      <c r="P1061" s="19"/>
      <c r="Q1061" s="19"/>
      <c r="R1061" s="19"/>
      <c r="S1061" s="19"/>
      <c r="T1061" s="19"/>
      <c r="U1061" s="19"/>
      <c r="V1061" s="19"/>
    </row>
    <row r="1062" spans="3:22" ht="15">
      <c r="C1062" s="118"/>
      <c r="D1062" s="25"/>
      <c r="E1062" s="25"/>
      <c r="F1062" s="25"/>
      <c r="G1062" s="104"/>
      <c r="H1062" s="25"/>
      <c r="I1062" s="25"/>
      <c r="J1062" s="25"/>
      <c r="L1062" s="25"/>
      <c r="O1062" s="104"/>
      <c r="P1062" s="19"/>
      <c r="Q1062" s="19"/>
      <c r="R1062" s="19"/>
      <c r="S1062" s="19"/>
      <c r="T1062" s="19"/>
      <c r="U1062" s="19"/>
      <c r="V1062" s="19"/>
    </row>
    <row r="1063" spans="3:22" ht="15">
      <c r="C1063" s="118"/>
      <c r="D1063" s="25"/>
      <c r="E1063" s="25"/>
      <c r="F1063" s="25"/>
      <c r="G1063" s="104"/>
      <c r="H1063" s="25"/>
      <c r="I1063" s="25"/>
      <c r="J1063" s="25"/>
      <c r="L1063" s="25"/>
      <c r="O1063" s="104"/>
      <c r="P1063" s="19"/>
      <c r="Q1063" s="19"/>
      <c r="R1063" s="19"/>
      <c r="S1063" s="19"/>
      <c r="T1063" s="19"/>
      <c r="U1063" s="19"/>
      <c r="V1063" s="19"/>
    </row>
    <row r="1064" spans="3:22" ht="15">
      <c r="C1064" s="118"/>
      <c r="D1064" s="25"/>
      <c r="E1064" s="25"/>
      <c r="F1064" s="25"/>
      <c r="G1064" s="104"/>
      <c r="H1064" s="25"/>
      <c r="I1064" s="25"/>
      <c r="J1064" s="25"/>
      <c r="L1064" s="25"/>
      <c r="O1064" s="104"/>
      <c r="P1064" s="19"/>
      <c r="Q1064" s="19"/>
      <c r="R1064" s="19"/>
      <c r="S1064" s="19"/>
      <c r="T1064" s="19"/>
      <c r="U1064" s="19"/>
      <c r="V1064" s="19"/>
    </row>
    <row r="1065" spans="3:22" ht="15">
      <c r="C1065" s="118"/>
      <c r="D1065" s="25"/>
      <c r="E1065" s="25"/>
      <c r="F1065" s="25"/>
      <c r="G1065" s="104"/>
      <c r="H1065" s="25"/>
      <c r="I1065" s="25"/>
      <c r="J1065" s="25"/>
      <c r="L1065" s="25"/>
      <c r="O1065" s="104"/>
      <c r="P1065" s="19"/>
      <c r="Q1065" s="19"/>
      <c r="R1065" s="19"/>
      <c r="S1065" s="19"/>
      <c r="T1065" s="19"/>
      <c r="U1065" s="19"/>
      <c r="V1065" s="19"/>
    </row>
    <row r="1066" spans="3:22" ht="15">
      <c r="C1066" s="118"/>
      <c r="D1066" s="25"/>
      <c r="E1066" s="25"/>
      <c r="F1066" s="25"/>
      <c r="G1066" s="104"/>
      <c r="H1066" s="25"/>
      <c r="I1066" s="25"/>
      <c r="J1066" s="25"/>
      <c r="L1066" s="25"/>
      <c r="O1066" s="104"/>
      <c r="P1066" s="19"/>
      <c r="Q1066" s="19"/>
      <c r="R1066" s="19"/>
      <c r="S1066" s="19"/>
      <c r="T1066" s="19"/>
      <c r="U1066" s="19"/>
      <c r="V1066" s="19"/>
    </row>
    <row r="1067" spans="3:22" ht="15">
      <c r="C1067" s="118"/>
      <c r="D1067" s="25"/>
      <c r="E1067" s="25"/>
      <c r="F1067" s="25"/>
      <c r="G1067" s="104"/>
      <c r="H1067" s="25"/>
      <c r="I1067" s="25"/>
      <c r="J1067" s="25"/>
      <c r="L1067" s="25"/>
      <c r="O1067" s="104"/>
      <c r="P1067" s="19"/>
      <c r="Q1067" s="19"/>
      <c r="R1067" s="19"/>
      <c r="S1067" s="19"/>
      <c r="T1067" s="19"/>
      <c r="U1067" s="19"/>
      <c r="V1067" s="19"/>
    </row>
    <row r="1068" spans="3:22" ht="15">
      <c r="C1068" s="118"/>
      <c r="D1068" s="25"/>
      <c r="E1068" s="25"/>
      <c r="F1068" s="25"/>
      <c r="G1068" s="104"/>
      <c r="H1068" s="25"/>
      <c r="I1068" s="25"/>
      <c r="J1068" s="25"/>
      <c r="L1068" s="25"/>
      <c r="O1068" s="104"/>
      <c r="P1068" s="19"/>
      <c r="Q1068" s="19"/>
      <c r="R1068" s="19"/>
      <c r="S1068" s="19"/>
      <c r="T1068" s="19"/>
      <c r="U1068" s="19"/>
      <c r="V1068" s="19"/>
    </row>
    <row r="1069" spans="3:22" ht="15">
      <c r="C1069" s="118"/>
      <c r="D1069" s="25"/>
      <c r="E1069" s="25"/>
      <c r="F1069" s="25"/>
      <c r="G1069" s="104"/>
      <c r="H1069" s="25"/>
      <c r="I1069" s="25"/>
      <c r="J1069" s="25"/>
      <c r="L1069" s="25"/>
      <c r="O1069" s="104"/>
      <c r="P1069" s="19"/>
      <c r="Q1069" s="19"/>
      <c r="R1069" s="19"/>
      <c r="S1069" s="19"/>
      <c r="T1069" s="19"/>
      <c r="U1069" s="19"/>
      <c r="V1069" s="19"/>
    </row>
    <row r="1070" spans="3:22" ht="15">
      <c r="C1070" s="118"/>
      <c r="D1070" s="25"/>
      <c r="E1070" s="25"/>
      <c r="F1070" s="25"/>
      <c r="G1070" s="104"/>
      <c r="H1070" s="25"/>
      <c r="I1070" s="25"/>
      <c r="J1070" s="25"/>
      <c r="L1070" s="25"/>
      <c r="O1070" s="104"/>
      <c r="P1070" s="19"/>
      <c r="Q1070" s="19"/>
      <c r="R1070" s="19"/>
      <c r="S1070" s="19"/>
      <c r="T1070" s="19"/>
      <c r="U1070" s="19"/>
      <c r="V1070" s="19"/>
    </row>
    <row r="1071" spans="3:22" ht="15">
      <c r="C1071" s="118"/>
      <c r="D1071" s="25"/>
      <c r="E1071" s="25"/>
      <c r="F1071" s="25"/>
      <c r="G1071" s="104"/>
      <c r="H1071" s="25"/>
      <c r="I1071" s="25"/>
      <c r="J1071" s="25"/>
      <c r="L1071" s="25"/>
      <c r="O1071" s="104"/>
      <c r="P1071" s="19"/>
      <c r="Q1071" s="19"/>
      <c r="R1071" s="19"/>
      <c r="S1071" s="19"/>
      <c r="T1071" s="19"/>
      <c r="U1071" s="19"/>
      <c r="V1071" s="19"/>
    </row>
    <row r="1072" spans="3:22" ht="15">
      <c r="C1072" s="118"/>
      <c r="D1072" s="25"/>
      <c r="E1072" s="25"/>
      <c r="F1072" s="25"/>
      <c r="G1072" s="104"/>
      <c r="H1072" s="25"/>
      <c r="I1072" s="25"/>
      <c r="J1072" s="25"/>
      <c r="L1072" s="25"/>
      <c r="O1072" s="104"/>
      <c r="P1072" s="19"/>
      <c r="Q1072" s="19"/>
      <c r="R1072" s="19"/>
      <c r="S1072" s="19"/>
      <c r="T1072" s="19"/>
      <c r="U1072" s="19"/>
      <c r="V1072" s="19"/>
    </row>
    <row r="1073" spans="3:22" ht="15">
      <c r="C1073" s="118"/>
      <c r="D1073" s="25"/>
      <c r="E1073" s="25"/>
      <c r="F1073" s="25"/>
      <c r="G1073" s="104"/>
      <c r="H1073" s="25"/>
      <c r="I1073" s="25"/>
      <c r="J1073" s="25"/>
      <c r="L1073" s="25"/>
      <c r="O1073" s="104"/>
      <c r="P1073" s="19"/>
      <c r="Q1073" s="19"/>
      <c r="R1073" s="19"/>
      <c r="S1073" s="19"/>
      <c r="T1073" s="19"/>
      <c r="U1073" s="19"/>
      <c r="V1073" s="19"/>
    </row>
    <row r="1074" spans="3:22" ht="15">
      <c r="C1074" s="118"/>
      <c r="D1074" s="25"/>
      <c r="E1074" s="25"/>
      <c r="F1074" s="25"/>
      <c r="G1074" s="104"/>
      <c r="H1074" s="25"/>
      <c r="I1074" s="25"/>
      <c r="J1074" s="25"/>
      <c r="L1074" s="25"/>
      <c r="O1074" s="104"/>
      <c r="P1074" s="19"/>
      <c r="Q1074" s="19"/>
      <c r="R1074" s="19"/>
      <c r="S1074" s="19"/>
      <c r="T1074" s="19"/>
      <c r="U1074" s="19"/>
      <c r="V1074" s="19"/>
    </row>
    <row r="1075" spans="3:22" ht="15">
      <c r="C1075" s="118"/>
      <c r="D1075" s="25"/>
      <c r="E1075" s="25"/>
      <c r="F1075" s="25"/>
      <c r="G1075" s="104"/>
      <c r="H1075" s="25"/>
      <c r="I1075" s="25"/>
      <c r="J1075" s="25"/>
      <c r="L1075" s="25"/>
      <c r="O1075" s="104"/>
      <c r="P1075" s="19"/>
      <c r="Q1075" s="19"/>
      <c r="R1075" s="19"/>
      <c r="S1075" s="19"/>
      <c r="T1075" s="19"/>
      <c r="U1075" s="19"/>
      <c r="V1075" s="19"/>
    </row>
    <row r="1076" spans="3:22" ht="15">
      <c r="C1076" s="118"/>
      <c r="D1076" s="25"/>
      <c r="E1076" s="25"/>
      <c r="F1076" s="25"/>
      <c r="G1076" s="104"/>
      <c r="H1076" s="25"/>
      <c r="I1076" s="25"/>
      <c r="J1076" s="25"/>
      <c r="L1076" s="25"/>
      <c r="O1076" s="104"/>
      <c r="P1076" s="19"/>
      <c r="Q1076" s="19"/>
      <c r="R1076" s="19"/>
      <c r="S1076" s="19"/>
      <c r="T1076" s="19"/>
      <c r="U1076" s="19"/>
      <c r="V1076" s="19"/>
    </row>
    <row r="1077" spans="3:22" ht="15">
      <c r="C1077" s="118"/>
      <c r="D1077" s="25"/>
      <c r="E1077" s="25"/>
      <c r="F1077" s="25"/>
      <c r="G1077" s="104"/>
      <c r="H1077" s="25"/>
      <c r="I1077" s="25"/>
      <c r="J1077" s="25"/>
      <c r="L1077" s="25"/>
      <c r="O1077" s="104"/>
      <c r="P1077" s="19"/>
      <c r="Q1077" s="19"/>
      <c r="R1077" s="19"/>
      <c r="S1077" s="19"/>
      <c r="T1077" s="19"/>
      <c r="U1077" s="19"/>
      <c r="V1077" s="19"/>
    </row>
    <row r="1078" spans="3:22" ht="15">
      <c r="C1078" s="118"/>
      <c r="D1078" s="25"/>
      <c r="E1078" s="25"/>
      <c r="F1078" s="25"/>
      <c r="G1078" s="104"/>
      <c r="H1078" s="25"/>
      <c r="I1078" s="25"/>
      <c r="J1078" s="25"/>
      <c r="L1078" s="25"/>
      <c r="O1078" s="104"/>
      <c r="P1078" s="19"/>
      <c r="Q1078" s="19"/>
      <c r="R1078" s="19"/>
      <c r="S1078" s="19"/>
      <c r="T1078" s="19"/>
      <c r="U1078" s="19"/>
      <c r="V1078" s="19"/>
    </row>
    <row r="1079" spans="3:22" ht="15">
      <c r="C1079" s="118"/>
      <c r="D1079" s="25"/>
      <c r="E1079" s="25"/>
      <c r="F1079" s="25"/>
      <c r="G1079" s="104"/>
      <c r="H1079" s="25"/>
      <c r="I1079" s="25"/>
      <c r="J1079" s="25"/>
      <c r="L1079" s="25"/>
      <c r="O1079" s="104"/>
      <c r="P1079" s="19"/>
      <c r="Q1079" s="19"/>
      <c r="R1079" s="19"/>
      <c r="S1079" s="19"/>
      <c r="T1079" s="19"/>
      <c r="U1079" s="19"/>
      <c r="V1079" s="19"/>
    </row>
    <row r="1080" spans="3:22" ht="15">
      <c r="C1080" s="118"/>
      <c r="D1080" s="25"/>
      <c r="E1080" s="25"/>
      <c r="F1080" s="25"/>
      <c r="G1080" s="104"/>
      <c r="H1080" s="25"/>
      <c r="I1080" s="25"/>
      <c r="J1080" s="25"/>
      <c r="L1080" s="25"/>
      <c r="O1080" s="104"/>
      <c r="P1080" s="19"/>
      <c r="Q1080" s="19"/>
      <c r="R1080" s="19"/>
      <c r="S1080" s="19"/>
      <c r="T1080" s="19"/>
      <c r="U1080" s="19"/>
      <c r="V1080" s="19"/>
    </row>
    <row r="1081" spans="3:22" ht="15">
      <c r="C1081" s="118"/>
      <c r="D1081" s="25"/>
      <c r="E1081" s="25"/>
      <c r="F1081" s="25"/>
      <c r="G1081" s="104"/>
      <c r="H1081" s="25"/>
      <c r="I1081" s="25"/>
      <c r="J1081" s="25"/>
      <c r="L1081" s="25"/>
      <c r="O1081" s="104"/>
      <c r="P1081" s="19"/>
      <c r="Q1081" s="19"/>
      <c r="R1081" s="19"/>
      <c r="S1081" s="19"/>
      <c r="T1081" s="19"/>
      <c r="U1081" s="19"/>
      <c r="V1081" s="19"/>
    </row>
    <row r="1082" spans="3:22" ht="15">
      <c r="C1082" s="118"/>
      <c r="D1082" s="25"/>
      <c r="E1082" s="25"/>
      <c r="F1082" s="25"/>
      <c r="G1082" s="104"/>
      <c r="H1082" s="25"/>
      <c r="I1082" s="25"/>
      <c r="J1082" s="25"/>
      <c r="L1082" s="25"/>
      <c r="O1082" s="104"/>
      <c r="P1082" s="19"/>
      <c r="Q1082" s="19"/>
      <c r="R1082" s="19"/>
      <c r="S1082" s="19"/>
      <c r="T1082" s="19"/>
      <c r="U1082" s="19"/>
      <c r="V1082" s="19"/>
    </row>
    <row r="1083" spans="3:22" ht="15">
      <c r="C1083" s="118"/>
      <c r="D1083" s="25"/>
      <c r="E1083" s="25"/>
      <c r="F1083" s="25"/>
      <c r="G1083" s="104"/>
      <c r="H1083" s="25"/>
      <c r="I1083" s="25"/>
      <c r="J1083" s="25"/>
      <c r="L1083" s="25"/>
      <c r="O1083" s="104"/>
      <c r="P1083" s="19"/>
      <c r="Q1083" s="19"/>
      <c r="R1083" s="19"/>
      <c r="S1083" s="19"/>
      <c r="T1083" s="19"/>
      <c r="U1083" s="19"/>
      <c r="V1083" s="19"/>
    </row>
    <row r="1084" spans="3:22" ht="15">
      <c r="C1084" s="118"/>
      <c r="D1084" s="25"/>
      <c r="E1084" s="25"/>
      <c r="F1084" s="25"/>
      <c r="G1084" s="104"/>
      <c r="H1084" s="25"/>
      <c r="I1084" s="25"/>
      <c r="J1084" s="25"/>
      <c r="L1084" s="25"/>
      <c r="O1084" s="104"/>
      <c r="P1084" s="19"/>
      <c r="Q1084" s="19"/>
      <c r="R1084" s="19"/>
      <c r="S1084" s="19"/>
      <c r="T1084" s="19"/>
      <c r="U1084" s="19"/>
      <c r="V1084" s="19"/>
    </row>
    <row r="1085" spans="3:22" ht="15">
      <c r="C1085" s="118"/>
      <c r="D1085" s="25"/>
      <c r="E1085" s="25"/>
      <c r="F1085" s="25"/>
      <c r="G1085" s="104"/>
      <c r="H1085" s="25"/>
      <c r="I1085" s="25"/>
      <c r="J1085" s="25"/>
      <c r="L1085" s="25"/>
      <c r="O1085" s="104"/>
      <c r="P1085" s="19"/>
      <c r="Q1085" s="19"/>
      <c r="R1085" s="19"/>
      <c r="S1085" s="19"/>
      <c r="T1085" s="19"/>
      <c r="U1085" s="19"/>
      <c r="V1085" s="19"/>
    </row>
    <row r="1086" spans="3:22" ht="15">
      <c r="C1086" s="118"/>
      <c r="D1086" s="25"/>
      <c r="E1086" s="25"/>
      <c r="F1086" s="25"/>
      <c r="G1086" s="104"/>
      <c r="H1086" s="25"/>
      <c r="I1086" s="25"/>
      <c r="J1086" s="25"/>
      <c r="L1086" s="25"/>
      <c r="O1086" s="104"/>
      <c r="P1086" s="19"/>
      <c r="Q1086" s="19"/>
      <c r="R1086" s="19"/>
      <c r="S1086" s="19"/>
      <c r="T1086" s="19"/>
      <c r="U1086" s="19"/>
      <c r="V1086" s="19"/>
    </row>
    <row r="1087" spans="3:19" ht="15">
      <c r="C1087" s="118"/>
      <c r="O1087" s="104"/>
      <c r="P1087" s="19"/>
      <c r="Q1087" s="19"/>
      <c r="R1087" s="19"/>
      <c r="S1087" s="19"/>
    </row>
  </sheetData>
  <sheetProtection password="D412" sheet="1" selectLockedCells="1"/>
  <mergeCells count="158">
    <mergeCell ref="R46:S46"/>
    <mergeCell ref="R36:S36"/>
    <mergeCell ref="U8:V8"/>
    <mergeCell ref="U10:V10"/>
    <mergeCell ref="U9:V9"/>
    <mergeCell ref="U11:V11"/>
    <mergeCell ref="U12:V12"/>
    <mergeCell ref="U13:V13"/>
    <mergeCell ref="R23:S23"/>
    <mergeCell ref="R12:S12"/>
    <mergeCell ref="R48:S48"/>
    <mergeCell ref="U48:V48"/>
    <mergeCell ref="O4:P6"/>
    <mergeCell ref="R4:S6"/>
    <mergeCell ref="U4:V6"/>
    <mergeCell ref="R47:S47"/>
    <mergeCell ref="O8:P8"/>
    <mergeCell ref="O9:P9"/>
    <mergeCell ref="O10:P10"/>
    <mergeCell ref="O11:P11"/>
    <mergeCell ref="R16:S16"/>
    <mergeCell ref="R21:S21"/>
    <mergeCell ref="R19:S19"/>
    <mergeCell ref="R14:S14"/>
    <mergeCell ref="U22:V22"/>
    <mergeCell ref="U24:V24"/>
    <mergeCell ref="R22:S22"/>
    <mergeCell ref="R17:S17"/>
    <mergeCell ref="U23:V23"/>
    <mergeCell ref="R20:S20"/>
    <mergeCell ref="O13:P13"/>
    <mergeCell ref="U14:V14"/>
    <mergeCell ref="U16:V16"/>
    <mergeCell ref="U17:V17"/>
    <mergeCell ref="U19:V19"/>
    <mergeCell ref="U20:V20"/>
    <mergeCell ref="M18:V18"/>
    <mergeCell ref="O16:P16"/>
    <mergeCell ref="O19:P19"/>
    <mergeCell ref="O20:P20"/>
    <mergeCell ref="B27:D27"/>
    <mergeCell ref="O23:P23"/>
    <mergeCell ref="G28:I28"/>
    <mergeCell ref="O21:P21"/>
    <mergeCell ref="O27:P27"/>
    <mergeCell ref="G24:I24"/>
    <mergeCell ref="B23:D23"/>
    <mergeCell ref="O26:P26"/>
    <mergeCell ref="O28:P28"/>
    <mergeCell ref="O24:P24"/>
    <mergeCell ref="O17:P17"/>
    <mergeCell ref="O22:P22"/>
    <mergeCell ref="G23:I23"/>
    <mergeCell ref="B29:D29"/>
    <mergeCell ref="G29:I29"/>
    <mergeCell ref="B24:D24"/>
    <mergeCell ref="B25:D25"/>
    <mergeCell ref="B26:D26"/>
    <mergeCell ref="B28:D28"/>
    <mergeCell ref="G26:I26"/>
    <mergeCell ref="O14:P14"/>
    <mergeCell ref="B16:D16"/>
    <mergeCell ref="B20:D20"/>
    <mergeCell ref="B21:D21"/>
    <mergeCell ref="B22:D22"/>
    <mergeCell ref="G22:I22"/>
    <mergeCell ref="G17:I17"/>
    <mergeCell ref="G18:I18"/>
    <mergeCell ref="B17:D17"/>
    <mergeCell ref="B18:D18"/>
    <mergeCell ref="H8:I8"/>
    <mergeCell ref="G19:I19"/>
    <mergeCell ref="G20:I20"/>
    <mergeCell ref="G16:I16"/>
    <mergeCell ref="E8:G8"/>
    <mergeCell ref="E12:G12"/>
    <mergeCell ref="H12:I12"/>
    <mergeCell ref="H9:I9"/>
    <mergeCell ref="H11:I11"/>
    <mergeCell ref="H10:I10"/>
    <mergeCell ref="B2:V2"/>
    <mergeCell ref="B4:I5"/>
    <mergeCell ref="B6:I6"/>
    <mergeCell ref="O43:P43"/>
    <mergeCell ref="E9:G9"/>
    <mergeCell ref="E10:G10"/>
    <mergeCell ref="E11:G11"/>
    <mergeCell ref="G25:I25"/>
    <mergeCell ref="R11:S11"/>
    <mergeCell ref="R13:S13"/>
    <mergeCell ref="R30:S30"/>
    <mergeCell ref="O30:P30"/>
    <mergeCell ref="G27:I27"/>
    <mergeCell ref="R26:S26"/>
    <mergeCell ref="R39:S39"/>
    <mergeCell ref="U43:V43"/>
    <mergeCell ref="O37:P37"/>
    <mergeCell ref="O38:P38"/>
    <mergeCell ref="O39:P39"/>
    <mergeCell ref="U40:V40"/>
    <mergeCell ref="U44:V44"/>
    <mergeCell ref="M29:V29"/>
    <mergeCell ref="U30:V30"/>
    <mergeCell ref="O31:P31"/>
    <mergeCell ref="R8:S8"/>
    <mergeCell ref="R10:S10"/>
    <mergeCell ref="R9:S9"/>
    <mergeCell ref="O12:P12"/>
    <mergeCell ref="R25:S25"/>
    <mergeCell ref="R15:S15"/>
    <mergeCell ref="U45:V45"/>
    <mergeCell ref="U37:V37"/>
    <mergeCell ref="U38:V38"/>
    <mergeCell ref="U39:V39"/>
    <mergeCell ref="R38:S38"/>
    <mergeCell ref="U26:V26"/>
    <mergeCell ref="U27:V27"/>
    <mergeCell ref="R28:S28"/>
    <mergeCell ref="U28:V28"/>
    <mergeCell ref="R42:S42"/>
    <mergeCell ref="U25:V25"/>
    <mergeCell ref="R24:S24"/>
    <mergeCell ref="R27:S27"/>
    <mergeCell ref="U21:V21"/>
    <mergeCell ref="B30:D31"/>
    <mergeCell ref="E30:E31"/>
    <mergeCell ref="G30:I31"/>
    <mergeCell ref="J4:J31"/>
    <mergeCell ref="L3:L31"/>
    <mergeCell ref="R31:S31"/>
    <mergeCell ref="F13:G13"/>
    <mergeCell ref="B19:D19"/>
    <mergeCell ref="G21:I21"/>
    <mergeCell ref="O40:P40"/>
    <mergeCell ref="O33:P33"/>
    <mergeCell ref="R45:S45"/>
    <mergeCell ref="R43:S43"/>
    <mergeCell ref="R40:S40"/>
    <mergeCell ref="O41:P41"/>
    <mergeCell ref="O42:P42"/>
    <mergeCell ref="O44:P44"/>
    <mergeCell ref="R44:S44"/>
    <mergeCell ref="U46:V46"/>
    <mergeCell ref="U47:V47"/>
    <mergeCell ref="U32:V32"/>
    <mergeCell ref="U33:V33"/>
    <mergeCell ref="R35:S35"/>
    <mergeCell ref="R33:S33"/>
    <mergeCell ref="R32:S32"/>
    <mergeCell ref="R34:S34"/>
    <mergeCell ref="U31:V31"/>
    <mergeCell ref="U34:V34"/>
    <mergeCell ref="U35:V35"/>
    <mergeCell ref="U41:V41"/>
    <mergeCell ref="U42:V42"/>
    <mergeCell ref="R41:S41"/>
    <mergeCell ref="U36:V36"/>
    <mergeCell ref="R37:S37"/>
  </mergeCells>
  <printOptions/>
  <pageMargins left="0.25" right="0.25"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FFC000"/>
  </sheetPr>
  <dimension ref="A2:AS84"/>
  <sheetViews>
    <sheetView showGridLines="0" showRowColHeaders="0" zoomScalePageLayoutView="0" workbookViewId="0" topLeftCell="A1">
      <selection activeCell="A1" sqref="A1"/>
    </sheetView>
  </sheetViews>
  <sheetFormatPr defaultColWidth="7.140625" defaultRowHeight="15"/>
  <cols>
    <col min="1" max="1" width="1.8515625" style="119" customWidth="1"/>
    <col min="2" max="2" width="33.140625" style="119" customWidth="1"/>
    <col min="3" max="3" width="12.57421875" style="119" customWidth="1"/>
    <col min="4" max="4" width="14.28125" style="119" customWidth="1"/>
    <col min="5" max="5" width="17.57421875" style="119" customWidth="1"/>
    <col min="6" max="6" width="17.7109375" style="119" customWidth="1"/>
    <col min="7" max="7" width="19.57421875" style="119" customWidth="1"/>
    <col min="8" max="9" width="1.7109375" style="21" customWidth="1"/>
    <col min="10" max="10" width="29.00390625" style="21" customWidth="1"/>
    <col min="11" max="11" width="12.8515625" style="21" bestFit="1" customWidth="1"/>
    <col min="12" max="12" width="15.7109375" style="21" customWidth="1"/>
    <col min="13" max="13" width="3.8515625" style="21" customWidth="1"/>
    <col min="14" max="14" width="9.7109375" style="182" customWidth="1"/>
    <col min="15" max="15" width="3.7109375" style="182" customWidth="1"/>
    <col min="16" max="16" width="9.28125" style="182" customWidth="1"/>
    <col min="17" max="23" width="7.140625" style="182" customWidth="1"/>
    <col min="24" max="37" width="7.140625" style="168" customWidth="1"/>
    <col min="38" max="16384" width="7.140625" style="119" customWidth="1"/>
  </cols>
  <sheetData>
    <row r="1" ht="5.25" customHeight="1"/>
    <row r="2" spans="2:14" ht="49.5" customHeight="1">
      <c r="B2" s="654" t="s">
        <v>635</v>
      </c>
      <c r="C2" s="654"/>
      <c r="D2" s="654"/>
      <c r="E2" s="654"/>
      <c r="F2" s="655"/>
      <c r="G2" s="655"/>
      <c r="J2" s="647" t="s">
        <v>616</v>
      </c>
      <c r="K2" s="647"/>
      <c r="L2" s="647"/>
      <c r="M2" s="647"/>
      <c r="N2" s="511"/>
    </row>
    <row r="3" spans="2:14" ht="16.5" customHeight="1">
      <c r="B3" s="120" t="s">
        <v>617</v>
      </c>
      <c r="C3" s="121"/>
      <c r="D3" s="121"/>
      <c r="E3" s="121"/>
      <c r="F3" s="121"/>
      <c r="G3" s="122"/>
      <c r="J3" s="123" t="s">
        <v>607</v>
      </c>
      <c r="K3" s="124" t="s">
        <v>570</v>
      </c>
      <c r="L3" s="125" t="s">
        <v>571</v>
      </c>
      <c r="M3" s="126"/>
      <c r="N3" s="511"/>
    </row>
    <row r="4" spans="2:13" ht="16.5" customHeight="1">
      <c r="B4" s="127"/>
      <c r="C4" s="648" t="s">
        <v>613</v>
      </c>
      <c r="D4" s="648"/>
      <c r="E4" s="648"/>
      <c r="F4" s="648"/>
      <c r="G4" s="649"/>
      <c r="J4" s="128" t="s">
        <v>572</v>
      </c>
      <c r="K4" s="129">
        <v>57</v>
      </c>
      <c r="L4" s="130">
        <v>3</v>
      </c>
      <c r="M4" s="126"/>
    </row>
    <row r="5" spans="2:16" ht="16.5" customHeight="1">
      <c r="B5" s="131" t="s">
        <v>874</v>
      </c>
      <c r="C5" s="167">
        <v>2</v>
      </c>
      <c r="D5" s="132" t="s">
        <v>544</v>
      </c>
      <c r="E5" s="133" t="s">
        <v>545</v>
      </c>
      <c r="F5" s="133" t="s">
        <v>546</v>
      </c>
      <c r="G5" s="133" t="s">
        <v>547</v>
      </c>
      <c r="J5" s="128" t="s">
        <v>590</v>
      </c>
      <c r="K5" s="129">
        <v>62</v>
      </c>
      <c r="L5" s="130">
        <v>3.5</v>
      </c>
      <c r="M5" s="126"/>
      <c r="P5" s="182" t="s">
        <v>201</v>
      </c>
    </row>
    <row r="6" spans="2:17" ht="16.5" customHeight="1">
      <c r="B6" s="134" t="s">
        <v>548</v>
      </c>
      <c r="C6" s="135"/>
      <c r="D6" s="136">
        <v>7</v>
      </c>
      <c r="E6" s="137">
        <v>10</v>
      </c>
      <c r="F6" s="137">
        <v>7</v>
      </c>
      <c r="G6" s="137">
        <v>0</v>
      </c>
      <c r="J6" s="128" t="s">
        <v>573</v>
      </c>
      <c r="K6" s="129">
        <v>70</v>
      </c>
      <c r="L6" s="130">
        <v>4</v>
      </c>
      <c r="M6" s="126"/>
      <c r="N6" s="512" t="s">
        <v>762</v>
      </c>
      <c r="O6" s="182">
        <f>IF(D6=0,0,1)</f>
        <v>1</v>
      </c>
      <c r="P6" s="252">
        <f>IF(O6=1,D15,P5)</f>
        <v>70</v>
      </c>
      <c r="Q6" s="182" t="str">
        <f>IF(O6=1,N6,P5)</f>
        <v>nord</v>
      </c>
    </row>
    <row r="7" spans="2:17" ht="16.5" customHeight="1">
      <c r="B7" s="134" t="s">
        <v>550</v>
      </c>
      <c r="C7" s="135"/>
      <c r="D7" s="136">
        <v>6</v>
      </c>
      <c r="E7" s="137">
        <v>7</v>
      </c>
      <c r="F7" s="137">
        <v>6</v>
      </c>
      <c r="G7" s="137">
        <v>0</v>
      </c>
      <c r="J7" s="128" t="s">
        <v>574</v>
      </c>
      <c r="K7" s="129">
        <v>70</v>
      </c>
      <c r="L7" s="130">
        <v>5</v>
      </c>
      <c r="M7" s="126"/>
      <c r="N7" s="512" t="s">
        <v>763</v>
      </c>
      <c r="O7" s="182">
        <f>IF(E6=0,0,1)</f>
        <v>1</v>
      </c>
      <c r="P7" s="252">
        <f>IF(O7=1,E15,0)</f>
        <v>42</v>
      </c>
      <c r="Q7" s="182" t="str">
        <f>IF(O7=1,N7,P5)</f>
        <v>est</v>
      </c>
    </row>
    <row r="8" spans="2:17" ht="16.5" customHeight="1">
      <c r="B8" s="134" t="s">
        <v>551</v>
      </c>
      <c r="C8" s="135"/>
      <c r="D8" s="136">
        <v>5</v>
      </c>
      <c r="E8" s="137">
        <v>6</v>
      </c>
      <c r="F8" s="137">
        <v>7</v>
      </c>
      <c r="G8" s="137">
        <v>0</v>
      </c>
      <c r="J8" s="128" t="s">
        <v>575</v>
      </c>
      <c r="K8" s="129">
        <v>80</v>
      </c>
      <c r="L8" s="130">
        <v>6</v>
      </c>
      <c r="M8" s="126"/>
      <c r="N8" s="512" t="s">
        <v>764</v>
      </c>
      <c r="O8" s="182">
        <f>IF(F6=0,0,1)</f>
        <v>1</v>
      </c>
      <c r="P8" s="252">
        <f>IF(O8=1,D15,0)</f>
        <v>70</v>
      </c>
      <c r="Q8" s="182" t="str">
        <f>IF(O8=1,N8,P5)</f>
        <v>sud</v>
      </c>
    </row>
    <row r="9" spans="2:17" ht="16.5" customHeight="1">
      <c r="B9" s="134" t="s">
        <v>870</v>
      </c>
      <c r="C9" s="135"/>
      <c r="D9" s="136">
        <f>E47*D8</f>
        <v>9.75</v>
      </c>
      <c r="E9" s="137">
        <f>E8*E47</f>
        <v>11.700000000000001</v>
      </c>
      <c r="F9" s="137">
        <f>E47*F8</f>
        <v>13.650000000000002</v>
      </c>
      <c r="G9" s="137">
        <v>0</v>
      </c>
      <c r="J9" s="128" t="s">
        <v>576</v>
      </c>
      <c r="K9" s="129">
        <v>90</v>
      </c>
      <c r="L9" s="130">
        <v>7</v>
      </c>
      <c r="M9" s="126"/>
      <c r="N9" s="512" t="s">
        <v>765</v>
      </c>
      <c r="O9" s="182">
        <f>IF(G6=0,0,1)</f>
        <v>0</v>
      </c>
      <c r="P9" s="252" t="str">
        <f>IF(F15=1,F15,P5)</f>
        <v> </v>
      </c>
      <c r="Q9" s="182" t="str">
        <f>IF(O9=1,N9,P5)</f>
        <v> </v>
      </c>
    </row>
    <row r="10" spans="2:16" ht="16.5" customHeight="1">
      <c r="B10" s="134" t="s">
        <v>871</v>
      </c>
      <c r="C10" s="135"/>
      <c r="D10" s="136">
        <v>0</v>
      </c>
      <c r="E10" s="137">
        <v>1</v>
      </c>
      <c r="F10" s="137">
        <v>2</v>
      </c>
      <c r="G10" s="137">
        <v>0</v>
      </c>
      <c r="J10" s="25"/>
      <c r="K10" s="25"/>
      <c r="L10" s="25"/>
      <c r="M10" s="25"/>
      <c r="O10" s="182">
        <f>SUM(O6:O9)</f>
        <v>3</v>
      </c>
      <c r="P10" s="252">
        <f>G15</f>
        <v>154</v>
      </c>
    </row>
    <row r="11" spans="2:13" ht="16.5" customHeight="1">
      <c r="B11" s="134" t="s">
        <v>872</v>
      </c>
      <c r="C11" s="135"/>
      <c r="D11" s="136">
        <v>0</v>
      </c>
      <c r="E11" s="137">
        <v>2</v>
      </c>
      <c r="F11" s="137">
        <v>4</v>
      </c>
      <c r="G11" s="137">
        <v>0</v>
      </c>
      <c r="J11" s="123" t="s">
        <v>579</v>
      </c>
      <c r="K11" s="124" t="s">
        <v>570</v>
      </c>
      <c r="L11" s="125" t="s">
        <v>571</v>
      </c>
      <c r="M11" s="126"/>
    </row>
    <row r="12" spans="2:13" ht="16.5" customHeight="1">
      <c r="B12" s="138"/>
      <c r="C12" s="650" t="s">
        <v>614</v>
      </c>
      <c r="D12" s="651"/>
      <c r="E12" s="651"/>
      <c r="F12" s="651"/>
      <c r="G12" s="652"/>
      <c r="H12" s="25"/>
      <c r="I12" s="25"/>
      <c r="J12" s="128" t="s">
        <v>580</v>
      </c>
      <c r="K12" s="129">
        <v>30</v>
      </c>
      <c r="L12" s="130">
        <v>1</v>
      </c>
      <c r="M12" s="126"/>
    </row>
    <row r="13" spans="2:13" ht="16.5" customHeight="1">
      <c r="B13" s="180" t="s">
        <v>875</v>
      </c>
      <c r="C13" s="133" t="s">
        <v>544</v>
      </c>
      <c r="D13" s="133" t="s">
        <v>768</v>
      </c>
      <c r="E13" s="133" t="s">
        <v>769</v>
      </c>
      <c r="F13" s="133" t="s">
        <v>547</v>
      </c>
      <c r="G13" s="133" t="s">
        <v>873</v>
      </c>
      <c r="H13" s="119"/>
      <c r="I13" s="119"/>
      <c r="J13" s="128" t="s">
        <v>581</v>
      </c>
      <c r="K13" s="129">
        <v>40</v>
      </c>
      <c r="L13" s="130">
        <v>3</v>
      </c>
      <c r="M13" s="126"/>
    </row>
    <row r="14" spans="2:13" ht="16.5" customHeight="1">
      <c r="B14" s="139" t="s">
        <v>746</v>
      </c>
      <c r="C14" s="133"/>
      <c r="D14" s="133"/>
      <c r="E14" s="133"/>
      <c r="F14" s="133"/>
      <c r="G14" s="140">
        <f>C42*C5</f>
        <v>140</v>
      </c>
      <c r="H14" s="119"/>
      <c r="I14" s="119"/>
      <c r="J14" s="128" t="s">
        <v>593</v>
      </c>
      <c r="K14" s="129">
        <v>40</v>
      </c>
      <c r="L14" s="130">
        <v>3.5</v>
      </c>
      <c r="M14" s="126"/>
    </row>
    <row r="15" spans="2:13" ht="16.5" customHeight="1">
      <c r="B15" s="139" t="s">
        <v>747</v>
      </c>
      <c r="C15" s="140">
        <f>D6*D7</f>
        <v>42</v>
      </c>
      <c r="D15" s="140">
        <f>E6*E7</f>
        <v>70</v>
      </c>
      <c r="E15" s="140">
        <f>F6*F7</f>
        <v>42</v>
      </c>
      <c r="F15" s="140">
        <f>G6*G7</f>
        <v>0</v>
      </c>
      <c r="G15" s="140">
        <f>C15+D15+E15+F15</f>
        <v>154</v>
      </c>
      <c r="H15" s="119"/>
      <c r="I15" s="119"/>
      <c r="J15" s="128" t="s">
        <v>592</v>
      </c>
      <c r="K15" s="129">
        <v>100</v>
      </c>
      <c r="L15" s="130">
        <v>3</v>
      </c>
      <c r="M15" s="126"/>
    </row>
    <row r="16" spans="2:13" ht="16.5" customHeight="1">
      <c r="B16" s="139" t="s">
        <v>748</v>
      </c>
      <c r="C16" s="140">
        <f>C15-D9-D11</f>
        <v>32.25</v>
      </c>
      <c r="D16" s="140">
        <f>D15-E9-E11</f>
        <v>56.3</v>
      </c>
      <c r="E16" s="140">
        <f>E15-F9-F11</f>
        <v>24.349999999999998</v>
      </c>
      <c r="F16" s="140">
        <f>F15-G9-G11</f>
        <v>0</v>
      </c>
      <c r="G16" s="140">
        <f>C16+D16+E16+F16</f>
        <v>112.89999999999999</v>
      </c>
      <c r="H16" s="119"/>
      <c r="I16" s="119"/>
      <c r="J16" s="128" t="s">
        <v>591</v>
      </c>
      <c r="K16" s="129">
        <v>105</v>
      </c>
      <c r="L16" s="130">
        <v>3.5</v>
      </c>
      <c r="M16" s="126"/>
    </row>
    <row r="17" spans="2:13" ht="16.5" customHeight="1">
      <c r="B17" s="139" t="s">
        <v>552</v>
      </c>
      <c r="C17" s="140">
        <f>D9</f>
        <v>9.75</v>
      </c>
      <c r="D17" s="140">
        <f>E9</f>
        <v>11.700000000000001</v>
      </c>
      <c r="E17" s="140">
        <f>F9</f>
        <v>13.650000000000002</v>
      </c>
      <c r="F17" s="140">
        <f>G9</f>
        <v>0</v>
      </c>
      <c r="G17" s="140">
        <f>C17+D17+E17+F17</f>
        <v>35.10000000000001</v>
      </c>
      <c r="H17" s="119"/>
      <c r="I17" s="119"/>
      <c r="J17" s="128" t="s">
        <v>594</v>
      </c>
      <c r="K17" s="129">
        <v>110</v>
      </c>
      <c r="L17" s="130">
        <v>4</v>
      </c>
      <c r="M17" s="126"/>
    </row>
    <row r="18" spans="2:16" ht="16.5" customHeight="1">
      <c r="B18" s="139" t="s">
        <v>553</v>
      </c>
      <c r="C18" s="140">
        <f>D11</f>
        <v>0</v>
      </c>
      <c r="D18" s="140">
        <f>E11</f>
        <v>2</v>
      </c>
      <c r="E18" s="140">
        <f>F11</f>
        <v>4</v>
      </c>
      <c r="F18" s="140">
        <f>G11</f>
        <v>0</v>
      </c>
      <c r="G18" s="140">
        <f>C18+D18+E18+F18</f>
        <v>6</v>
      </c>
      <c r="H18" s="141"/>
      <c r="I18" s="141"/>
      <c r="J18" s="142"/>
      <c r="K18" s="142"/>
      <c r="L18" s="142"/>
      <c r="M18" s="25"/>
      <c r="N18" s="189"/>
      <c r="O18" s="189"/>
      <c r="P18" s="189"/>
    </row>
    <row r="19" spans="2:13" ht="16.5" customHeight="1">
      <c r="B19" s="143"/>
      <c r="C19" s="653" t="s">
        <v>615</v>
      </c>
      <c r="D19" s="653"/>
      <c r="E19" s="653"/>
      <c r="F19" s="653"/>
      <c r="G19" s="653"/>
      <c r="H19" s="119"/>
      <c r="I19" s="119"/>
      <c r="J19" s="144" t="s">
        <v>598</v>
      </c>
      <c r="K19" s="95" t="s">
        <v>570</v>
      </c>
      <c r="L19" s="97"/>
      <c r="M19" s="126"/>
    </row>
    <row r="20" spans="2:37" s="142" customFormat="1" ht="16.5" customHeight="1">
      <c r="B20" s="143"/>
      <c r="C20" s="145"/>
      <c r="D20" s="143" t="s">
        <v>554</v>
      </c>
      <c r="E20" s="146" t="s">
        <v>555</v>
      </c>
      <c r="F20" s="147"/>
      <c r="G20" s="147"/>
      <c r="J20" s="128" t="s">
        <v>648</v>
      </c>
      <c r="K20" s="129">
        <v>250</v>
      </c>
      <c r="L20" s="130"/>
      <c r="M20" s="126"/>
      <c r="N20" s="148"/>
      <c r="O20" s="148"/>
      <c r="P20" s="148"/>
      <c r="Q20" s="148"/>
      <c r="R20" s="148"/>
      <c r="S20" s="148"/>
      <c r="T20" s="148"/>
      <c r="U20" s="148"/>
      <c r="V20" s="148"/>
      <c r="W20" s="148"/>
      <c r="X20" s="166"/>
      <c r="Y20" s="166"/>
      <c r="Z20" s="166"/>
      <c r="AA20" s="166"/>
      <c r="AB20" s="166"/>
      <c r="AC20" s="166"/>
      <c r="AD20" s="166"/>
      <c r="AE20" s="166"/>
      <c r="AF20" s="166"/>
      <c r="AG20" s="166"/>
      <c r="AH20" s="166"/>
      <c r="AI20" s="166"/>
      <c r="AJ20" s="166"/>
      <c r="AK20" s="166"/>
    </row>
    <row r="21" spans="2:13" ht="16.5" customHeight="1">
      <c r="B21" s="149" t="s">
        <v>609</v>
      </c>
      <c r="C21" s="150"/>
      <c r="D21" s="151">
        <f>K5</f>
        <v>62</v>
      </c>
      <c r="E21" s="152">
        <f>C49</f>
        <v>0</v>
      </c>
      <c r="F21" s="641" t="s">
        <v>749</v>
      </c>
      <c r="G21" s="642"/>
      <c r="J21" s="128" t="s">
        <v>596</v>
      </c>
      <c r="K21" s="129">
        <v>280</v>
      </c>
      <c r="L21" s="130"/>
      <c r="M21" s="126"/>
    </row>
    <row r="22" spans="2:13" ht="16.5" customHeight="1">
      <c r="B22" s="149" t="s">
        <v>610</v>
      </c>
      <c r="C22" s="150"/>
      <c r="D22" s="151">
        <f>K14</f>
        <v>40</v>
      </c>
      <c r="E22" s="153">
        <f>C54</f>
        <v>0</v>
      </c>
      <c r="F22" s="643"/>
      <c r="G22" s="644"/>
      <c r="J22" s="128" t="s">
        <v>597</v>
      </c>
      <c r="K22" s="129">
        <v>300</v>
      </c>
      <c r="L22" s="130"/>
      <c r="M22" s="126"/>
    </row>
    <row r="23" spans="2:13" ht="16.5" customHeight="1">
      <c r="B23" s="149" t="s">
        <v>611</v>
      </c>
      <c r="C23" s="150"/>
      <c r="D23" s="154">
        <f>K21</f>
        <v>280</v>
      </c>
      <c r="E23" s="155">
        <f>C58</f>
        <v>0</v>
      </c>
      <c r="F23" s="643"/>
      <c r="G23" s="644"/>
      <c r="J23" s="128" t="s">
        <v>599</v>
      </c>
      <c r="K23" s="129">
        <v>350</v>
      </c>
      <c r="L23" s="130"/>
      <c r="M23" s="126"/>
    </row>
    <row r="24" spans="2:13" ht="16.5" customHeight="1">
      <c r="B24" s="149" t="s">
        <v>599</v>
      </c>
      <c r="C24" s="150"/>
      <c r="D24" s="154">
        <f>K23</f>
        <v>350</v>
      </c>
      <c r="E24" s="155">
        <f>C62</f>
        <v>0</v>
      </c>
      <c r="F24" s="643"/>
      <c r="G24" s="644"/>
      <c r="J24" s="25"/>
      <c r="K24" s="25"/>
      <c r="L24" s="25"/>
      <c r="M24" s="25"/>
    </row>
    <row r="25" spans="2:13" ht="16.5" customHeight="1">
      <c r="B25" s="149" t="s">
        <v>612</v>
      </c>
      <c r="C25" s="150"/>
      <c r="D25" s="154">
        <f>K26</f>
        <v>80</v>
      </c>
      <c r="E25" s="155">
        <f>C66</f>
        <v>0</v>
      </c>
      <c r="F25" s="643"/>
      <c r="G25" s="644"/>
      <c r="J25" s="144" t="s">
        <v>600</v>
      </c>
      <c r="K25" s="95" t="s">
        <v>570</v>
      </c>
      <c r="L25" s="97"/>
      <c r="M25" s="126"/>
    </row>
    <row r="26" spans="2:13" ht="16.5" customHeight="1">
      <c r="B26" s="149" t="s">
        <v>604</v>
      </c>
      <c r="C26" s="156"/>
      <c r="D26" s="154">
        <v>10</v>
      </c>
      <c r="E26" s="155">
        <f>C70</f>
        <v>0</v>
      </c>
      <c r="F26" s="643"/>
      <c r="G26" s="644"/>
      <c r="J26" s="128" t="s">
        <v>601</v>
      </c>
      <c r="K26" s="129">
        <v>80</v>
      </c>
      <c r="L26" s="130"/>
      <c r="M26" s="126"/>
    </row>
    <row r="27" spans="2:13" ht="21.75" customHeight="1">
      <c r="B27" s="157" t="s">
        <v>638</v>
      </c>
      <c r="C27" s="158">
        <f>Simulatore!AX24*D29</f>
        <v>150.58869701726846</v>
      </c>
      <c r="D27" s="159" t="s">
        <v>637</v>
      </c>
      <c r="E27" s="160">
        <f>(E21*C30)+(E22*C30)+(E23*C30)+(E24*C30)+(E25*C30)+(E26*C30)</f>
        <v>0</v>
      </c>
      <c r="F27" s="645"/>
      <c r="G27" s="646"/>
      <c r="J27" s="128" t="s">
        <v>602</v>
      </c>
      <c r="K27" s="129">
        <v>100</v>
      </c>
      <c r="L27" s="130"/>
      <c r="M27" s="126"/>
    </row>
    <row r="28" spans="2:13" ht="16.5" customHeight="1">
      <c r="B28" s="161"/>
      <c r="C28" s="162"/>
      <c r="D28" s="161" t="s">
        <v>562</v>
      </c>
      <c r="E28" s="163">
        <f>SUM(E21:E26)+E27</f>
        <v>0</v>
      </c>
      <c r="F28" s="163"/>
      <c r="G28" s="163"/>
      <c r="J28" s="128" t="s">
        <v>603</v>
      </c>
      <c r="K28" s="129">
        <v>110</v>
      </c>
      <c r="L28" s="130"/>
      <c r="M28" s="126"/>
    </row>
    <row r="29" spans="1:45" s="21" customFormat="1" ht="16.5" customHeight="1">
      <c r="A29" s="148"/>
      <c r="B29" s="184" t="s">
        <v>608</v>
      </c>
      <c r="C29" s="184">
        <f>F73</f>
        <v>0</v>
      </c>
      <c r="D29" s="253">
        <f>1-C29</f>
        <v>1</v>
      </c>
      <c r="E29" s="219">
        <f>Simulatore!R22</f>
        <v>9.30607746228573</v>
      </c>
      <c r="F29" s="254">
        <f>CEILING(E27,1)</f>
        <v>0</v>
      </c>
      <c r="G29" s="254">
        <f>Simulatore!U11</f>
        <v>28942.4</v>
      </c>
      <c r="H29" s="148"/>
      <c r="J29" s="25"/>
      <c r="K29" s="25"/>
      <c r="L29" s="25"/>
      <c r="M29" s="25"/>
      <c r="N29" s="182"/>
      <c r="O29" s="182"/>
      <c r="P29" s="182"/>
      <c r="Q29" s="182"/>
      <c r="R29" s="182"/>
      <c r="S29" s="182"/>
      <c r="T29" s="182"/>
      <c r="U29" s="182"/>
      <c r="V29" s="182"/>
      <c r="W29" s="182"/>
      <c r="X29" s="168"/>
      <c r="Y29" s="168"/>
      <c r="Z29" s="168"/>
      <c r="AA29" s="168"/>
      <c r="AB29" s="168"/>
      <c r="AC29" s="168"/>
      <c r="AD29" s="168"/>
      <c r="AE29" s="168"/>
      <c r="AF29" s="168"/>
      <c r="AG29" s="168"/>
      <c r="AH29" s="168"/>
      <c r="AI29" s="168"/>
      <c r="AJ29" s="168"/>
      <c r="AK29" s="168"/>
      <c r="AS29" s="21">
        <v>1</v>
      </c>
    </row>
    <row r="30" spans="1:23" s="21" customFormat="1" ht="16.5" customHeight="1">
      <c r="A30" s="25"/>
      <c r="B30" s="184" t="s">
        <v>605</v>
      </c>
      <c r="C30" s="240">
        <v>0.1</v>
      </c>
      <c r="D30" s="209">
        <v>12</v>
      </c>
      <c r="E30" s="197" t="s">
        <v>578</v>
      </c>
      <c r="F30" s="209">
        <v>10</v>
      </c>
      <c r="G30" s="254">
        <f>Simulatore!U22</f>
        <v>9.854511838465337</v>
      </c>
      <c r="H30" s="25"/>
      <c r="J30" s="123" t="s">
        <v>604</v>
      </c>
      <c r="K30" s="164" t="s">
        <v>745</v>
      </c>
      <c r="L30" s="165"/>
      <c r="M30" s="173"/>
      <c r="N30" s="182"/>
      <c r="O30" s="182"/>
      <c r="P30" s="182"/>
      <c r="Q30" s="182"/>
      <c r="R30" s="182"/>
      <c r="S30" s="182"/>
      <c r="T30" s="182"/>
      <c r="U30" s="182"/>
      <c r="V30" s="182"/>
      <c r="W30" s="182"/>
    </row>
    <row r="31" spans="2:13" s="184" customFormat="1" ht="18.75">
      <c r="B31" s="184" t="s">
        <v>606</v>
      </c>
      <c r="C31" s="184" t="s">
        <v>577</v>
      </c>
      <c r="D31" s="209">
        <v>30</v>
      </c>
      <c r="E31" s="197" t="s">
        <v>578</v>
      </c>
      <c r="F31" s="209">
        <v>10</v>
      </c>
      <c r="G31" s="184" t="s">
        <v>595</v>
      </c>
      <c r="H31" s="184">
        <v>20</v>
      </c>
      <c r="M31" s="255"/>
    </row>
    <row r="32" spans="3:13" s="184" customFormat="1" ht="18.75">
      <c r="C32" s="219">
        <f>Simulatore!AX24</f>
        <v>150.58869701726846</v>
      </c>
      <c r="M32" s="255"/>
    </row>
    <row r="33" s="184" customFormat="1" ht="18.75">
      <c r="M33" s="255"/>
    </row>
    <row r="34" s="184" customFormat="1" ht="15"/>
    <row r="35" s="184" customFormat="1" ht="15"/>
    <row r="36" s="184" customFormat="1" ht="15"/>
    <row r="37" s="184" customFormat="1" ht="15"/>
    <row r="38" spans="2:7" s="184" customFormat="1" ht="15">
      <c r="B38" s="185" t="s">
        <v>544</v>
      </c>
      <c r="C38" s="184">
        <f>IF(D6=0,F6,D6)</f>
        <v>7</v>
      </c>
      <c r="E38" s="185">
        <v>2</v>
      </c>
      <c r="F38" s="184" t="s">
        <v>556</v>
      </c>
      <c r="G38" s="185">
        <f>VLOOKUP(E38,$E$39:$G$41,3,)</f>
        <v>10</v>
      </c>
    </row>
    <row r="39" spans="2:7" s="184" customFormat="1" ht="15">
      <c r="B39" s="185" t="s">
        <v>545</v>
      </c>
      <c r="C39" s="184">
        <f>IF(E6=0,G6,E6)</f>
        <v>10</v>
      </c>
      <c r="E39" s="185">
        <v>0</v>
      </c>
      <c r="F39" s="209" t="s">
        <v>582</v>
      </c>
      <c r="G39" s="256" t="s">
        <v>583</v>
      </c>
    </row>
    <row r="40" spans="2:7" s="184" customFormat="1" ht="15">
      <c r="B40" s="185" t="s">
        <v>546</v>
      </c>
      <c r="C40" s="184">
        <f>IF(F6=0,D6,F6)</f>
        <v>7</v>
      </c>
      <c r="E40" s="185">
        <v>9000</v>
      </c>
      <c r="F40" s="209" t="s">
        <v>584</v>
      </c>
      <c r="G40" s="185">
        <v>0</v>
      </c>
    </row>
    <row r="41" spans="2:7" s="184" customFormat="1" ht="15">
      <c r="B41" s="185" t="s">
        <v>547</v>
      </c>
      <c r="C41" s="184">
        <f>IF(G6=0,E6,G6)</f>
        <v>10</v>
      </c>
      <c r="E41" s="184">
        <v>2</v>
      </c>
      <c r="F41" s="184" t="s">
        <v>585</v>
      </c>
      <c r="G41" s="184">
        <v>10</v>
      </c>
    </row>
    <row r="42" spans="2:3" s="184" customFormat="1" ht="15">
      <c r="B42" s="209" t="s">
        <v>549</v>
      </c>
      <c r="C42" s="184">
        <f>((C38+C40)/2)*((C39+C41)/2)</f>
        <v>70</v>
      </c>
    </row>
    <row r="43" s="184" customFormat="1" ht="15"/>
    <row r="44" spans="2:5" s="184" customFormat="1" ht="15">
      <c r="B44" s="184" t="s">
        <v>563</v>
      </c>
      <c r="C44" s="210">
        <v>5000</v>
      </c>
      <c r="D44" s="210">
        <f>C44/G14</f>
        <v>35.714285714285715</v>
      </c>
      <c r="E44" s="210">
        <f>IF(D26=0,0,D44)</f>
        <v>35.714285714285715</v>
      </c>
    </row>
    <row r="45" s="184" customFormat="1" ht="15"/>
    <row r="46" spans="2:5" s="184" customFormat="1" ht="15">
      <c r="B46" s="184" t="s">
        <v>586</v>
      </c>
      <c r="C46" s="185" t="s">
        <v>587</v>
      </c>
      <c r="D46" s="185" t="s">
        <v>588</v>
      </c>
      <c r="E46" s="185" t="s">
        <v>589</v>
      </c>
    </row>
    <row r="47" spans="3:5" s="184" customFormat="1" ht="15">
      <c r="C47" s="185">
        <v>1.3</v>
      </c>
      <c r="D47" s="185">
        <v>1.5</v>
      </c>
      <c r="E47" s="185">
        <f>C47*D47</f>
        <v>1.9500000000000002</v>
      </c>
    </row>
    <row r="48" s="184" customFormat="1" ht="15"/>
    <row r="49" spans="1:6" s="184" customFormat="1" ht="15">
      <c r="A49" s="185">
        <v>2</v>
      </c>
      <c r="B49" s="184" t="s">
        <v>556</v>
      </c>
      <c r="C49" s="185">
        <f>VLOOKUP(A49,$A$50:$C$51,3,)</f>
        <v>0</v>
      </c>
      <c r="D49" s="240">
        <v>0.34</v>
      </c>
      <c r="E49" s="240">
        <v>0.44</v>
      </c>
      <c r="F49" s="184">
        <f>VLOOKUP(A49,$A$50:$D$51,4,)</f>
        <v>0</v>
      </c>
    </row>
    <row r="50" spans="1:6" s="184" customFormat="1" ht="15">
      <c r="A50" s="185">
        <v>1</v>
      </c>
      <c r="B50" s="209" t="s">
        <v>582</v>
      </c>
      <c r="C50" s="256">
        <f>D21*G15</f>
        <v>9548</v>
      </c>
      <c r="D50" s="184">
        <f>IF(A54=1,D49,E49)</f>
        <v>0.44</v>
      </c>
      <c r="F50" s="184" t="s">
        <v>201</v>
      </c>
    </row>
    <row r="51" spans="1:5" s="184" customFormat="1" ht="15">
      <c r="A51" s="185">
        <v>2</v>
      </c>
      <c r="B51" s="209" t="s">
        <v>584</v>
      </c>
      <c r="C51" s="185">
        <v>0</v>
      </c>
      <c r="D51" s="184">
        <v>0</v>
      </c>
      <c r="E51" s="184" t="str">
        <f>"cappotto termico da 12 cm di spessore su "&amp;O10&amp;" pareti esterne, costo complessivo "&amp;E21&amp;" €; "</f>
        <v>cappotto termico da 12 cm di spessore su 3 pareti esterne, costo complessivo 0 €; </v>
      </c>
    </row>
    <row r="52" spans="1:3" s="184" customFormat="1" ht="15">
      <c r="A52" s="185"/>
      <c r="B52" s="185">
        <f>IF(A49=1,1,0)</f>
        <v>0</v>
      </c>
      <c r="C52" s="185"/>
    </row>
    <row r="53" spans="2:7" s="184" customFormat="1" ht="15">
      <c r="B53" s="240">
        <v>0.18</v>
      </c>
      <c r="C53" s="240">
        <v>0.3</v>
      </c>
      <c r="D53" s="240">
        <v>0.23</v>
      </c>
      <c r="E53" s="240">
        <v>0.25</v>
      </c>
      <c r="G53" s="184" t="str">
        <f>IF(D22&lt;=40,E56,E55)</f>
        <v>coibentazione del sottotetto con 20 cm di isolante, costo 0 €; </v>
      </c>
    </row>
    <row r="54" spans="1:6" s="184" customFormat="1" ht="15">
      <c r="A54" s="185">
        <v>2</v>
      </c>
      <c r="B54" s="184" t="s">
        <v>557</v>
      </c>
      <c r="C54" s="185">
        <f>VLOOKUP(A54,$A$55:$C$56,3,)</f>
        <v>0</v>
      </c>
      <c r="D54" s="240">
        <f>IF(D22&lt;=40,B53,D53)</f>
        <v>0.18</v>
      </c>
      <c r="E54" s="240">
        <f>IF(D22&lt;=40,E53,C53)</f>
        <v>0.25</v>
      </c>
      <c r="F54" s="184">
        <f>VLOOKUP(A54,$A$55:$D$56,4,)</f>
        <v>0</v>
      </c>
    </row>
    <row r="55" spans="1:12" s="184" customFormat="1" ht="15">
      <c r="A55" s="185">
        <v>1</v>
      </c>
      <c r="B55" s="209" t="s">
        <v>582</v>
      </c>
      <c r="C55" s="256">
        <f>D22*G14</f>
        <v>5600</v>
      </c>
      <c r="D55" s="184">
        <f>IF(A49=1,D54,E54)</f>
        <v>0.25</v>
      </c>
      <c r="E55" s="184" t="str">
        <f>"coibentazione del tetto con 12 cm di isolante, costo "&amp;E22&amp;" €; "</f>
        <v>coibentazione del tetto con 12 cm di isolante, costo 0 €; </v>
      </c>
      <c r="L55" s="193" t="str">
        <f>IF(A49=1,E51,F50)</f>
        <v> </v>
      </c>
    </row>
    <row r="56" spans="1:12" s="184" customFormat="1" ht="15">
      <c r="A56" s="185">
        <v>2</v>
      </c>
      <c r="B56" s="209" t="s">
        <v>584</v>
      </c>
      <c r="C56" s="185">
        <v>0</v>
      </c>
      <c r="D56" s="184">
        <v>0</v>
      </c>
      <c r="E56" s="184" t="str">
        <f>"coibentazione del sottotetto con 20 cm di isolante, costo "&amp;E22&amp;" €; "</f>
        <v>coibentazione del sottotetto con 20 cm di isolante, costo 0 €; </v>
      </c>
      <c r="L56" s="193" t="str">
        <f>IF(A54=1,G53,F50)</f>
        <v> </v>
      </c>
    </row>
    <row r="57" spans="2:12" s="184" customFormat="1" ht="15">
      <c r="B57" s="185">
        <f>IF(A54=1,1,0)</f>
        <v>0</v>
      </c>
      <c r="L57" s="193" t="str">
        <f>IF(A58=1,E60,F50)</f>
        <v> </v>
      </c>
    </row>
    <row r="58" spans="1:12" s="184" customFormat="1" ht="15">
      <c r="A58" s="185">
        <v>2</v>
      </c>
      <c r="B58" s="184" t="s">
        <v>558</v>
      </c>
      <c r="C58" s="185">
        <f>VLOOKUP(A58,$A$59:$C$60,3,)</f>
        <v>0</v>
      </c>
      <c r="D58" s="240">
        <v>0.1</v>
      </c>
      <c r="E58" s="240">
        <v>0.16</v>
      </c>
      <c r="F58" s="184">
        <f>VLOOKUP(A58,$A$59:$D$60,4,)</f>
        <v>0</v>
      </c>
      <c r="G58" s="215">
        <f>D8+E8+F8+G8</f>
        <v>18</v>
      </c>
      <c r="L58" s="193" t="str">
        <f>IF(A62=1,E64,F50)</f>
        <v> </v>
      </c>
    </row>
    <row r="59" spans="1:12" s="184" customFormat="1" ht="15">
      <c r="A59" s="185">
        <v>1</v>
      </c>
      <c r="B59" s="209" t="s">
        <v>582</v>
      </c>
      <c r="C59" s="256">
        <f>G17*D23</f>
        <v>9828.000000000002</v>
      </c>
      <c r="D59" s="184">
        <f>IF(A49=1,D58,E58)</f>
        <v>0.16</v>
      </c>
      <c r="L59" s="193" t="str">
        <f>IF(A66=1,E68,F50)</f>
        <v> </v>
      </c>
    </row>
    <row r="60" spans="1:12" s="184" customFormat="1" ht="15">
      <c r="A60" s="185">
        <v>2</v>
      </c>
      <c r="B60" s="209" t="s">
        <v>584</v>
      </c>
      <c r="C60" s="185">
        <v>0</v>
      </c>
      <c r="D60" s="184">
        <v>0</v>
      </c>
      <c r="E60" s="184" t="str">
        <f>"sostituzione di "&amp;G58&amp;" infissi con vetrocamera a bassa trasmittanza, costo "&amp;E23&amp;" €; "</f>
        <v>sostituzione di 18 infissi con vetrocamera a bassa trasmittanza, costo 0 €; </v>
      </c>
      <c r="L60" s="193" t="str">
        <f>IF(A70=1,E72,F50)</f>
        <v> </v>
      </c>
    </row>
    <row r="61" s="184" customFormat="1" ht="15">
      <c r="B61" s="185">
        <f>IF(A58=1,1,0)</f>
        <v>0</v>
      </c>
    </row>
    <row r="62" spans="1:7" s="184" customFormat="1" ht="15">
      <c r="A62" s="185">
        <v>2</v>
      </c>
      <c r="B62" s="184" t="s">
        <v>559</v>
      </c>
      <c r="C62" s="185">
        <f>VLOOKUP(A62,$A$63:$C$64,3,)</f>
        <v>0</v>
      </c>
      <c r="D62" s="240">
        <v>0.03</v>
      </c>
      <c r="E62" s="240">
        <v>0.03</v>
      </c>
      <c r="F62" s="184">
        <f>VLOOKUP(A62,$A$63:$D$64,4,)</f>
        <v>0</v>
      </c>
      <c r="G62" s="215">
        <f>D10+E10+F10+G10</f>
        <v>3</v>
      </c>
    </row>
    <row r="63" spans="1:4" s="184" customFormat="1" ht="15">
      <c r="A63" s="185">
        <v>1</v>
      </c>
      <c r="B63" s="209" t="s">
        <v>582</v>
      </c>
      <c r="C63" s="256">
        <f>G18*D24</f>
        <v>2100</v>
      </c>
      <c r="D63" s="184">
        <f>IF(A49=1,D62,E62)</f>
        <v>0.03</v>
      </c>
    </row>
    <row r="64" spans="1:5" s="184" customFormat="1" ht="15">
      <c r="A64" s="185">
        <v>2</v>
      </c>
      <c r="B64" s="209" t="s">
        <v>584</v>
      </c>
      <c r="C64" s="185">
        <v>0</v>
      </c>
      <c r="D64" s="184">
        <v>0</v>
      </c>
      <c r="E64" s="184" t="str">
        <f>"sostituzione di "&amp;G62&amp;" porte esterne coibentate a bassa trasmittanza, costo "&amp;E24&amp;" €; "</f>
        <v>sostituzione di 3 porte esterne coibentate a bassa trasmittanza, costo 0 €; </v>
      </c>
    </row>
    <row r="65" s="184" customFormat="1" ht="15">
      <c r="B65" s="185">
        <f>IF(A62=1,1,0)</f>
        <v>0</v>
      </c>
    </row>
    <row r="66" spans="1:6" s="184" customFormat="1" ht="15">
      <c r="A66" s="185">
        <v>2</v>
      </c>
      <c r="B66" s="184" t="s">
        <v>560</v>
      </c>
      <c r="C66" s="185">
        <f>VLOOKUP(A66,$A$67:$C$68,3,)</f>
        <v>0</v>
      </c>
      <c r="D66" s="240">
        <v>0.15</v>
      </c>
      <c r="E66" s="240">
        <v>0.2</v>
      </c>
      <c r="F66" s="184">
        <f>VLOOKUP(A66,$A$67:$D$68,4,)</f>
        <v>0</v>
      </c>
    </row>
    <row r="67" spans="1:4" s="184" customFormat="1" ht="15">
      <c r="A67" s="185">
        <v>1</v>
      </c>
      <c r="B67" s="209" t="s">
        <v>582</v>
      </c>
      <c r="C67" s="256">
        <f>G14*D25</f>
        <v>11200</v>
      </c>
      <c r="D67" s="184">
        <f>IF(A49=1,D66,E66)</f>
        <v>0.2</v>
      </c>
    </row>
    <row r="68" spans="1:5" s="184" customFormat="1" ht="15">
      <c r="A68" s="185">
        <v>2</v>
      </c>
      <c r="B68" s="209" t="s">
        <v>584</v>
      </c>
      <c r="C68" s="185">
        <v>0</v>
      </c>
      <c r="D68" s="184">
        <v>0</v>
      </c>
      <c r="E68" s="184" t="str">
        <f>"posa in opera di "&amp;G14&amp;" mq di sistema radiante esteso, costo "&amp;E25&amp;" €; "</f>
        <v>posa in opera di 140 mq di sistema radiante esteso, costo 0 €; </v>
      </c>
    </row>
    <row r="69" s="184" customFormat="1" ht="15">
      <c r="B69" s="185">
        <f>IF(A66=1,1,0)</f>
        <v>0</v>
      </c>
    </row>
    <row r="70" spans="1:6" s="184" customFormat="1" ht="15">
      <c r="A70" s="185">
        <v>2</v>
      </c>
      <c r="B70" s="184" t="s">
        <v>561</v>
      </c>
      <c r="C70" s="185">
        <f>VLOOKUP(A70,$A$71:$C$72,3,)</f>
        <v>0</v>
      </c>
      <c r="D70" s="240">
        <v>0.13</v>
      </c>
      <c r="E70" s="240">
        <v>0.15</v>
      </c>
      <c r="F70" s="184">
        <f>VLOOKUP(A70,$A$71:$D$72,4,)</f>
        <v>0</v>
      </c>
    </row>
    <row r="71" spans="1:4" s="184" customFormat="1" ht="15">
      <c r="A71" s="185">
        <v>1</v>
      </c>
      <c r="B71" s="209" t="s">
        <v>582</v>
      </c>
      <c r="C71" s="256">
        <f>G14*3*D26</f>
        <v>4200</v>
      </c>
      <c r="D71" s="184">
        <f>IF(A49=1,D70,E70)</f>
        <v>0.15</v>
      </c>
    </row>
    <row r="72" spans="1:5" s="184" customFormat="1" ht="15">
      <c r="A72" s="185">
        <v>2</v>
      </c>
      <c r="B72" s="209" t="s">
        <v>584</v>
      </c>
      <c r="C72" s="185">
        <v>0</v>
      </c>
      <c r="D72" s="184">
        <v>0</v>
      </c>
      <c r="E72" s="184" t="str">
        <f>"scambiatore termico per il ricambio d'aria con recupero del calore, costo "&amp;E26&amp;" €; "</f>
        <v>scambiatore termico per il ricambio d'aria con recupero del calore, costo 0 €; </v>
      </c>
    </row>
    <row r="73" spans="2:6" s="184" customFormat="1" ht="15">
      <c r="B73" s="185">
        <f>IF(A70=1,1,0)</f>
        <v>0</v>
      </c>
      <c r="F73" s="184">
        <f>SUM(F49:F72)</f>
        <v>0</v>
      </c>
    </row>
    <row r="74" s="184" customFormat="1" ht="15">
      <c r="B74" s="185">
        <f>B52+B57+B61+B65+B69+B73</f>
        <v>0</v>
      </c>
    </row>
    <row r="75" s="184" customFormat="1" ht="15"/>
    <row r="76" s="184" customFormat="1" ht="15"/>
    <row r="77" s="184" customFormat="1" ht="15"/>
    <row r="78" s="184" customFormat="1" ht="15"/>
    <row r="79" s="184" customFormat="1" ht="15"/>
    <row r="80" s="184" customFormat="1" ht="15"/>
    <row r="81" s="184" customFormat="1" ht="15"/>
    <row r="82" s="184" customFormat="1" ht="15"/>
    <row r="83" spans="14:23" s="25" customFormat="1" ht="15">
      <c r="N83" s="148"/>
      <c r="O83" s="148"/>
      <c r="P83" s="148"/>
      <c r="Q83" s="148"/>
      <c r="R83" s="148"/>
      <c r="S83" s="148"/>
      <c r="T83" s="148"/>
      <c r="U83" s="148"/>
      <c r="V83" s="148"/>
      <c r="W83" s="148"/>
    </row>
    <row r="84" spans="14:23" s="166" customFormat="1" ht="15">
      <c r="N84" s="148"/>
      <c r="O84" s="148"/>
      <c r="P84" s="148"/>
      <c r="Q84" s="148"/>
      <c r="R84" s="148"/>
      <c r="S84" s="148"/>
      <c r="T84" s="148"/>
      <c r="U84" s="148"/>
      <c r="V84" s="148"/>
      <c r="W84" s="148"/>
    </row>
  </sheetData>
  <sheetProtection password="D412" sheet="1"/>
  <mergeCells count="6">
    <mergeCell ref="F21:G27"/>
    <mergeCell ref="J2:M2"/>
    <mergeCell ref="C4:G4"/>
    <mergeCell ref="C12:G12"/>
    <mergeCell ref="C19:G19"/>
    <mergeCell ref="B2:G2"/>
  </mergeCell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theme="0"/>
  </sheetPr>
  <dimension ref="A1:FC219"/>
  <sheetViews>
    <sheetView showGridLines="0" showRowColHeaders="0" zoomScalePageLayoutView="0" workbookViewId="0" topLeftCell="A1">
      <selection activeCell="A1" sqref="A1"/>
    </sheetView>
  </sheetViews>
  <sheetFormatPr defaultColWidth="9.140625" defaultRowHeight="15"/>
  <cols>
    <col min="1" max="1" width="5.00390625" style="11" customWidth="1"/>
    <col min="2" max="2" width="1.28515625" style="0" customWidth="1"/>
    <col min="3" max="3" width="1.421875" style="0" customWidth="1"/>
    <col min="4" max="79" width="1.28515625" style="0" customWidth="1"/>
    <col min="80" max="80" width="1.28515625" style="2" customWidth="1"/>
    <col min="81" max="81" width="11.00390625" style="2" customWidth="1"/>
    <col min="82" max="82" width="11.57421875" style="2" customWidth="1"/>
    <col min="83" max="83" width="14.28125" style="2" customWidth="1"/>
    <col min="84" max="84" width="11.57421875" style="2" customWidth="1"/>
    <col min="85" max="85" width="11.00390625" style="2" customWidth="1"/>
    <col min="86" max="86" width="12.140625" style="2" customWidth="1"/>
    <col min="87" max="87" width="7.8515625" style="2" customWidth="1"/>
    <col min="88" max="88" width="8.00390625" style="2" customWidth="1"/>
    <col min="89" max="89" width="9.8515625" style="2" customWidth="1"/>
    <col min="90" max="90" width="6.8515625" style="2" customWidth="1"/>
    <col min="91" max="91" width="9.8515625" style="2" customWidth="1"/>
    <col min="92" max="92" width="10.57421875" style="2" customWidth="1"/>
    <col min="93" max="93" width="3.00390625" style="2" customWidth="1"/>
    <col min="94" max="94" width="9.7109375" style="2" customWidth="1"/>
    <col min="95" max="95" width="8.8515625" style="2" customWidth="1"/>
    <col min="96" max="96" width="3.00390625" style="2" customWidth="1"/>
    <col min="97" max="97" width="10.140625" style="2" customWidth="1"/>
    <col min="98" max="98" width="9.8515625" style="2" customWidth="1"/>
    <col min="99" max="99" width="3.00390625" style="2" customWidth="1"/>
    <col min="100" max="101" width="10.421875" style="2" customWidth="1"/>
    <col min="102" max="102" width="3.00390625" style="2" customWidth="1"/>
    <col min="103" max="104" width="9.8515625" style="2" customWidth="1"/>
    <col min="105" max="105" width="11.7109375" style="2" customWidth="1"/>
    <col min="106" max="106" width="8.00390625" style="2" customWidth="1"/>
    <col min="107" max="107" width="8.57421875" style="2" customWidth="1"/>
    <col min="108" max="108" width="11.421875" style="2" customWidth="1"/>
    <col min="109" max="109" width="10.57421875" style="2" customWidth="1"/>
    <col min="110" max="110" width="9.57421875" style="2" customWidth="1"/>
    <col min="111" max="111" width="3.00390625" style="2" customWidth="1"/>
    <col min="112" max="112" width="9.57421875" style="2" customWidth="1"/>
    <col min="113" max="113" width="8.00390625" style="2" customWidth="1"/>
    <col min="114" max="114" width="3.00390625" style="2" customWidth="1"/>
    <col min="115" max="115" width="9.140625" style="2" customWidth="1"/>
    <col min="116" max="116" width="8.00390625" style="2" customWidth="1"/>
    <col min="117" max="117" width="3.00390625" style="2" customWidth="1"/>
    <col min="118" max="122" width="6.57421875" style="2" customWidth="1"/>
    <col min="123" max="127" width="6.57421875" style="1" customWidth="1"/>
    <col min="128" max="144" width="6.57421875" style="2" customWidth="1"/>
    <col min="145" max="146" width="9.140625" style="2" customWidth="1"/>
    <col min="147" max="147" width="3.28125" style="2" customWidth="1"/>
    <col min="148" max="149" width="9.140625" style="2" customWidth="1"/>
    <col min="150" max="150" width="3.28125" style="2" customWidth="1"/>
    <col min="151" max="152" width="9.140625" style="2" customWidth="1"/>
    <col min="153" max="153" width="3.28125" style="2" customWidth="1"/>
    <col min="154" max="155" width="9.140625" style="2" customWidth="1"/>
    <col min="156" max="156" width="3.28125" style="2" customWidth="1"/>
    <col min="157" max="158" width="9.140625" style="2" customWidth="1"/>
    <col min="159" max="159" width="3.28125" style="2" customWidth="1"/>
    <col min="160" max="182" width="9.140625" style="2" customWidth="1"/>
  </cols>
  <sheetData>
    <row r="1" s="3" customFormat="1" ht="14.25" customHeight="1">
      <c r="CC1" s="267" t="s">
        <v>851</v>
      </c>
    </row>
    <row r="2" s="3" customFormat="1" ht="15" customHeight="1">
      <c r="A2" s="3">
        <v>1</v>
      </c>
    </row>
    <row r="3" s="3" customFormat="1" ht="30.75" customHeight="1">
      <c r="A3" s="3">
        <v>1</v>
      </c>
    </row>
    <row r="4" s="3" customFormat="1" ht="30.75" customHeight="1">
      <c r="A4" s="3">
        <v>1</v>
      </c>
    </row>
    <row r="5" spans="1:159" s="3" customFormat="1" ht="231.75" customHeight="1">
      <c r="A5" s="3">
        <v>1</v>
      </c>
      <c r="B5" s="679"/>
      <c r="C5" s="680"/>
      <c r="D5" s="680"/>
      <c r="E5" s="680"/>
      <c r="F5" s="680"/>
      <c r="G5" s="680"/>
      <c r="H5" s="680"/>
      <c r="I5" s="680"/>
      <c r="J5" s="680"/>
      <c r="K5" s="680"/>
      <c r="L5" s="680"/>
      <c r="M5" s="680"/>
      <c r="N5" s="680"/>
      <c r="O5" s="680"/>
      <c r="P5" s="680"/>
      <c r="Q5" s="680"/>
      <c r="R5" s="680"/>
      <c r="S5" s="680"/>
      <c r="T5" s="680"/>
      <c r="U5" s="680"/>
      <c r="V5" s="680"/>
      <c r="W5" s="680"/>
      <c r="X5" s="680"/>
      <c r="Y5" s="680"/>
      <c r="Z5" s="680"/>
      <c r="AA5" s="680"/>
      <c r="AB5" s="680"/>
      <c r="AC5" s="680"/>
      <c r="AD5" s="680"/>
      <c r="AE5" s="680"/>
      <c r="AF5" s="680"/>
      <c r="AG5" s="680"/>
      <c r="AH5" s="680"/>
      <c r="AI5" s="680"/>
      <c r="AJ5" s="680"/>
      <c r="AK5" s="680"/>
      <c r="AL5" s="680"/>
      <c r="AM5" s="680"/>
      <c r="AN5" s="680"/>
      <c r="AO5" s="680"/>
      <c r="AP5" s="680"/>
      <c r="AQ5" s="680"/>
      <c r="AR5" s="680"/>
      <c r="AS5" s="680"/>
      <c r="AT5" s="680"/>
      <c r="AU5" s="680"/>
      <c r="AV5" s="680"/>
      <c r="AW5" s="680"/>
      <c r="AX5" s="680"/>
      <c r="AY5" s="680"/>
      <c r="AZ5" s="680"/>
      <c r="BA5" s="680"/>
      <c r="BB5" s="680"/>
      <c r="BC5" s="680"/>
      <c r="BD5" s="680"/>
      <c r="BE5" s="680"/>
      <c r="BF5" s="680"/>
      <c r="BG5" s="680"/>
      <c r="BH5" s="680"/>
      <c r="BI5" s="680"/>
      <c r="BJ5" s="680"/>
      <c r="BK5" s="680"/>
      <c r="BL5" s="680"/>
      <c r="BM5" s="680"/>
      <c r="BN5" s="680"/>
      <c r="BO5" s="680"/>
      <c r="BP5" s="680"/>
      <c r="BQ5" s="680"/>
      <c r="BR5" s="680"/>
      <c r="BS5" s="680"/>
      <c r="BT5" s="680"/>
      <c r="BU5" s="680"/>
      <c r="BV5" s="680"/>
      <c r="BW5" s="680"/>
      <c r="BX5" s="680"/>
      <c r="BY5" s="680"/>
      <c r="BZ5" s="680"/>
      <c r="CA5" s="657"/>
      <c r="CD5" s="257"/>
      <c r="CE5" s="175"/>
      <c r="CF5" s="175"/>
      <c r="CG5" s="175"/>
      <c r="CH5" s="175"/>
      <c r="CI5" s="175"/>
      <c r="CJ5" s="175"/>
      <c r="CK5" s="175"/>
      <c r="CL5" s="175"/>
      <c r="CM5" s="175"/>
      <c r="CN5" s="175"/>
      <c r="CO5" s="175"/>
      <c r="CP5" s="175"/>
      <c r="CQ5" s="175"/>
      <c r="CR5" s="175"/>
      <c r="CS5" s="175"/>
      <c r="CT5" s="175"/>
      <c r="CU5" s="175"/>
      <c r="CV5" s="175"/>
      <c r="CW5" s="175"/>
      <c r="CX5" s="175"/>
      <c r="CY5" s="175"/>
      <c r="CZ5" s="175"/>
      <c r="DA5" s="175"/>
      <c r="DB5" s="175"/>
      <c r="DC5" s="175"/>
      <c r="DD5" s="175"/>
      <c r="DE5" s="175"/>
      <c r="DF5" s="175"/>
      <c r="DG5" s="175"/>
      <c r="DH5" s="175"/>
      <c r="DI5" s="175"/>
      <c r="DJ5" s="175"/>
      <c r="DK5" s="175"/>
      <c r="DL5" s="175"/>
      <c r="DM5" s="175"/>
      <c r="DN5" s="175"/>
      <c r="DO5" s="175"/>
      <c r="DP5" s="175"/>
      <c r="DQ5" s="175"/>
      <c r="DR5" s="175"/>
      <c r="DS5" s="175"/>
      <c r="DT5" s="175"/>
      <c r="DU5" s="175"/>
      <c r="DV5" s="175"/>
      <c r="DW5" s="175"/>
      <c r="DX5" s="175"/>
      <c r="DY5" s="175"/>
      <c r="DZ5" s="175"/>
      <c r="EA5" s="175"/>
      <c r="EB5" s="175"/>
      <c r="EC5" s="175"/>
      <c r="ED5" s="175"/>
      <c r="EE5" s="175"/>
      <c r="EF5" s="175"/>
      <c r="EG5" s="175"/>
      <c r="EH5" s="175"/>
      <c r="EI5" s="175"/>
      <c r="EJ5" s="175"/>
      <c r="EK5" s="175"/>
      <c r="EL5" s="175"/>
      <c r="EM5" s="175"/>
      <c r="EN5" s="175"/>
      <c r="EO5" s="175"/>
      <c r="EP5" s="175"/>
      <c r="EQ5" s="175"/>
      <c r="ER5" s="175"/>
      <c r="ES5" s="175"/>
      <c r="ET5" s="175"/>
      <c r="EU5" s="175"/>
      <c r="EV5" s="175"/>
      <c r="EW5" s="175"/>
      <c r="EX5" s="175"/>
      <c r="EY5" s="175"/>
      <c r="EZ5" s="175"/>
      <c r="FA5" s="175"/>
      <c r="FB5" s="175"/>
      <c r="FC5" s="8"/>
    </row>
    <row r="6" spans="1:79" s="3" customFormat="1" ht="39" customHeight="1">
      <c r="A6" s="3">
        <v>1</v>
      </c>
      <c r="B6" s="681" t="e">
        <f>"Sig. "&amp;#REF!&amp;", "&amp;#REF!&amp;" ("&amp;#REF!&amp;")"</f>
        <v>#REF!</v>
      </c>
      <c r="C6" s="682"/>
      <c r="D6" s="682"/>
      <c r="E6" s="682"/>
      <c r="F6" s="682"/>
      <c r="G6" s="682"/>
      <c r="H6" s="682"/>
      <c r="I6" s="682"/>
      <c r="J6" s="682"/>
      <c r="K6" s="682"/>
      <c r="L6" s="682"/>
      <c r="M6" s="682"/>
      <c r="N6" s="682"/>
      <c r="O6" s="682"/>
      <c r="P6" s="682"/>
      <c r="Q6" s="682"/>
      <c r="R6" s="682"/>
      <c r="S6" s="682"/>
      <c r="T6" s="682"/>
      <c r="U6" s="682"/>
      <c r="V6" s="682"/>
      <c r="W6" s="682"/>
      <c r="X6" s="682"/>
      <c r="Y6" s="682"/>
      <c r="Z6" s="682"/>
      <c r="AA6" s="682"/>
      <c r="AB6" s="682"/>
      <c r="AC6" s="682"/>
      <c r="AD6" s="682"/>
      <c r="AE6" s="682"/>
      <c r="AF6" s="682"/>
      <c r="AG6" s="682"/>
      <c r="AH6" s="682"/>
      <c r="AI6" s="682"/>
      <c r="AJ6" s="682"/>
      <c r="AK6" s="682"/>
      <c r="AL6" s="682"/>
      <c r="AM6" s="682"/>
      <c r="AN6" s="682"/>
      <c r="AO6" s="682"/>
      <c r="AP6" s="682"/>
      <c r="AQ6" s="682"/>
      <c r="AR6" s="682"/>
      <c r="AS6" s="682"/>
      <c r="AT6" s="682"/>
      <c r="AU6" s="682"/>
      <c r="AV6" s="682"/>
      <c r="AW6" s="682"/>
      <c r="AX6" s="682"/>
      <c r="AY6" s="682"/>
      <c r="AZ6" s="682"/>
      <c r="BA6" s="682"/>
      <c r="BB6" s="682"/>
      <c r="BC6" s="682"/>
      <c r="BD6" s="682"/>
      <c r="BE6" s="682"/>
      <c r="BF6" s="682"/>
      <c r="BG6" s="682"/>
      <c r="BH6" s="682"/>
      <c r="BI6" s="682"/>
      <c r="BJ6" s="682"/>
      <c r="BK6" s="682"/>
      <c r="BL6" s="682"/>
      <c r="BM6" s="682"/>
      <c r="BN6" s="682"/>
      <c r="BO6" s="682"/>
      <c r="BP6" s="682"/>
      <c r="BQ6" s="682"/>
      <c r="BR6" s="682"/>
      <c r="BS6" s="682"/>
      <c r="BT6" s="682"/>
      <c r="BU6" s="682"/>
      <c r="BV6" s="682"/>
      <c r="BW6" s="682"/>
      <c r="BX6" s="682"/>
      <c r="BY6" s="682"/>
      <c r="BZ6" s="682"/>
      <c r="CA6" s="683"/>
    </row>
    <row r="7" spans="1:79" s="3" customFormat="1" ht="121.5" customHeight="1">
      <c r="A7" s="3">
        <v>1</v>
      </c>
      <c r="B7" s="684" t="s">
        <v>882</v>
      </c>
      <c r="C7" s="684"/>
      <c r="D7" s="684"/>
      <c r="E7" s="684"/>
      <c r="F7" s="684"/>
      <c r="G7" s="684"/>
      <c r="H7" s="684"/>
      <c r="I7" s="684"/>
      <c r="J7" s="684"/>
      <c r="K7" s="684"/>
      <c r="L7" s="684"/>
      <c r="M7" s="684"/>
      <c r="N7" s="684"/>
      <c r="O7" s="684"/>
      <c r="P7" s="684"/>
      <c r="Q7" s="684"/>
      <c r="R7" s="684"/>
      <c r="S7" s="684"/>
      <c r="T7" s="684"/>
      <c r="U7" s="684"/>
      <c r="V7" s="684"/>
      <c r="W7" s="684"/>
      <c r="X7" s="684"/>
      <c r="Y7" s="684"/>
      <c r="Z7" s="684"/>
      <c r="AA7" s="684"/>
      <c r="AB7" s="684"/>
      <c r="AC7" s="684"/>
      <c r="AD7" s="684"/>
      <c r="AE7" s="684"/>
      <c r="AF7" s="684"/>
      <c r="AG7" s="684"/>
      <c r="AH7" s="684"/>
      <c r="AI7" s="684"/>
      <c r="AJ7" s="684"/>
      <c r="AK7" s="684"/>
      <c r="AL7" s="684"/>
      <c r="AM7" s="684"/>
      <c r="AN7" s="684"/>
      <c r="AO7" s="684"/>
      <c r="AP7" s="684"/>
      <c r="AQ7" s="684"/>
      <c r="AR7" s="684"/>
      <c r="AS7" s="684"/>
      <c r="AT7" s="684"/>
      <c r="AU7" s="684"/>
      <c r="AV7" s="684"/>
      <c r="AW7" s="684"/>
      <c r="AX7" s="684"/>
      <c r="AY7" s="684"/>
      <c r="AZ7" s="684"/>
      <c r="BA7" s="684"/>
      <c r="BB7" s="684"/>
      <c r="BC7" s="684"/>
      <c r="BD7" s="684"/>
      <c r="BE7" s="684"/>
      <c r="BF7" s="684"/>
      <c r="BG7" s="684"/>
      <c r="BH7" s="684"/>
      <c r="BI7" s="684"/>
      <c r="BJ7" s="684"/>
      <c r="BK7" s="684"/>
      <c r="BL7" s="684"/>
      <c r="BM7" s="684"/>
      <c r="BN7" s="684"/>
      <c r="BO7" s="684"/>
      <c r="BP7" s="684"/>
      <c r="BQ7" s="684"/>
      <c r="BR7" s="684"/>
      <c r="BS7" s="684"/>
      <c r="BT7" s="684"/>
      <c r="BU7" s="684"/>
      <c r="BV7" s="684"/>
      <c r="BW7" s="684"/>
      <c r="BX7" s="684"/>
      <c r="BY7" s="684"/>
      <c r="BZ7" s="684"/>
      <c r="CA7" s="664"/>
    </row>
    <row r="8" s="3" customFormat="1" ht="75" customHeight="1">
      <c r="A8" s="3">
        <v>1</v>
      </c>
    </row>
    <row r="9" s="3" customFormat="1" ht="37.5" customHeight="1">
      <c r="A9" s="3">
        <v>1</v>
      </c>
    </row>
    <row r="10" s="3" customFormat="1" ht="37.5" customHeight="1">
      <c r="A10" s="3">
        <v>1</v>
      </c>
    </row>
    <row r="11" s="3" customFormat="1" ht="37.5" customHeight="1">
      <c r="A11" s="3">
        <v>1</v>
      </c>
    </row>
    <row r="12" spans="1:79" s="3" customFormat="1" ht="45.75" customHeight="1">
      <c r="A12" s="3">
        <v>1</v>
      </c>
      <c r="B12" s="717" t="s">
        <v>883</v>
      </c>
      <c r="C12" s="718"/>
      <c r="D12" s="718"/>
      <c r="E12" s="718"/>
      <c r="F12" s="718"/>
      <c r="G12" s="718"/>
      <c r="H12" s="718"/>
      <c r="I12" s="718"/>
      <c r="J12" s="718"/>
      <c r="K12" s="718"/>
      <c r="L12" s="718"/>
      <c r="M12" s="718"/>
      <c r="N12" s="718"/>
      <c r="O12" s="718"/>
      <c r="P12" s="718"/>
      <c r="Q12" s="718"/>
      <c r="R12" s="718"/>
      <c r="S12" s="718"/>
      <c r="T12" s="718"/>
      <c r="U12" s="718"/>
      <c r="V12" s="718"/>
      <c r="W12" s="718"/>
      <c r="X12" s="718"/>
      <c r="Y12" s="718"/>
      <c r="Z12" s="718"/>
      <c r="AA12" s="718"/>
      <c r="AB12" s="718"/>
      <c r="AC12" s="718"/>
      <c r="AD12" s="718"/>
      <c r="AE12" s="718"/>
      <c r="AF12" s="718"/>
      <c r="AG12" s="718"/>
      <c r="AH12" s="718"/>
      <c r="AI12" s="718"/>
      <c r="AJ12" s="718"/>
      <c r="AK12" s="718"/>
      <c r="AL12" s="718"/>
      <c r="AM12" s="718"/>
      <c r="AN12" s="718"/>
      <c r="AO12" s="718"/>
      <c r="AP12" s="718"/>
      <c r="AQ12" s="718"/>
      <c r="AR12" s="718"/>
      <c r="AS12" s="718"/>
      <c r="AT12" s="718"/>
      <c r="AU12" s="718"/>
      <c r="AV12" s="718"/>
      <c r="AW12" s="718"/>
      <c r="AX12" s="718"/>
      <c r="AY12" s="718"/>
      <c r="AZ12" s="718"/>
      <c r="BA12" s="718"/>
      <c r="BB12" s="718"/>
      <c r="BC12" s="718"/>
      <c r="BD12" s="718"/>
      <c r="BE12" s="718"/>
      <c r="BF12" s="718"/>
      <c r="BG12" s="718"/>
      <c r="BH12" s="718"/>
      <c r="BI12" s="718"/>
      <c r="BJ12" s="718"/>
      <c r="BK12" s="718"/>
      <c r="BL12" s="718"/>
      <c r="BM12" s="718"/>
      <c r="BN12" s="718"/>
      <c r="BO12" s="718"/>
      <c r="BP12" s="718"/>
      <c r="BQ12" s="718"/>
      <c r="BR12" s="718"/>
      <c r="BS12" s="718"/>
      <c r="BT12" s="718"/>
      <c r="BU12" s="664"/>
      <c r="BV12" s="664"/>
      <c r="BW12" s="664"/>
      <c r="BX12" s="664"/>
      <c r="BY12" s="664"/>
      <c r="BZ12" s="664"/>
      <c r="CA12" s="664"/>
    </row>
    <row r="13" spans="1:85" s="3" customFormat="1" ht="15" customHeight="1">
      <c r="A13" s="3">
        <v>1</v>
      </c>
      <c r="B13" s="169"/>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c r="BS13" s="170"/>
      <c r="BT13" s="170"/>
      <c r="CF13" s="261"/>
      <c r="CG13" s="278"/>
    </row>
    <row r="14" spans="1:85" s="3" customFormat="1" ht="15.75" customHeight="1">
      <c r="A14" s="3">
        <v>1</v>
      </c>
      <c r="B14" s="712" t="s">
        <v>797</v>
      </c>
      <c r="C14" s="664"/>
      <c r="D14" s="664"/>
      <c r="E14" s="664"/>
      <c r="F14" s="664"/>
      <c r="G14" s="664"/>
      <c r="H14" s="664"/>
      <c r="I14" s="664"/>
      <c r="J14" s="664"/>
      <c r="K14" s="664"/>
      <c r="L14" s="664"/>
      <c r="M14" s="664"/>
      <c r="N14" s="664"/>
      <c r="O14" s="664"/>
      <c r="P14" s="664"/>
      <c r="Q14" s="664"/>
      <c r="R14" s="664"/>
      <c r="S14" s="664"/>
      <c r="T14" s="664"/>
      <c r="U14" s="664"/>
      <c r="V14" s="664"/>
      <c r="W14" s="664"/>
      <c r="X14" s="664"/>
      <c r="Y14" s="664"/>
      <c r="Z14" s="664"/>
      <c r="AA14" s="664"/>
      <c r="AB14" s="664"/>
      <c r="AC14" s="664"/>
      <c r="AD14" s="664"/>
      <c r="AE14" s="664"/>
      <c r="AF14" s="664"/>
      <c r="AG14" s="664"/>
      <c r="AH14" s="664"/>
      <c r="AI14" s="664"/>
      <c r="AJ14" s="664"/>
      <c r="AK14" s="664"/>
      <c r="AL14" s="664"/>
      <c r="AM14" s="664"/>
      <c r="AN14" s="664"/>
      <c r="AO14" s="664"/>
      <c r="AP14" s="664"/>
      <c r="AQ14" s="664"/>
      <c r="AR14" s="664"/>
      <c r="AS14" s="664"/>
      <c r="AT14" s="664"/>
      <c r="AU14" s="664"/>
      <c r="AV14" s="664"/>
      <c r="AW14" s="664"/>
      <c r="AX14" s="664"/>
      <c r="AY14" s="664"/>
      <c r="AZ14" s="664"/>
      <c r="BA14" s="664"/>
      <c r="BB14" s="664"/>
      <c r="BC14" s="664"/>
      <c r="BD14" s="664"/>
      <c r="BE14" s="664"/>
      <c r="BF14" s="664"/>
      <c r="BG14" s="664"/>
      <c r="BH14" s="664"/>
      <c r="BI14" s="664"/>
      <c r="BJ14" s="664"/>
      <c r="BK14" s="664"/>
      <c r="BL14" s="664"/>
      <c r="BM14" s="664"/>
      <c r="BN14" s="664"/>
      <c r="BO14" s="664"/>
      <c r="BP14" s="664"/>
      <c r="BQ14" s="664"/>
      <c r="BR14" s="664"/>
      <c r="BS14" s="664"/>
      <c r="BT14" s="664"/>
      <c r="BU14" s="664"/>
      <c r="BV14" s="664"/>
      <c r="BW14" s="664"/>
      <c r="BX14" s="664"/>
      <c r="BY14" s="664"/>
      <c r="BZ14" s="664"/>
      <c r="CA14" s="664"/>
      <c r="CB14" s="8"/>
      <c r="CF14" s="261"/>
      <c r="CG14" s="278"/>
    </row>
    <row r="15" spans="1:85" s="3" customFormat="1" ht="204" customHeight="1">
      <c r="A15" s="3">
        <v>1</v>
      </c>
      <c r="B15" s="714" t="s">
        <v>798</v>
      </c>
      <c r="C15" s="714"/>
      <c r="D15" s="714"/>
      <c r="E15" s="714"/>
      <c r="F15" s="714"/>
      <c r="G15" s="714"/>
      <c r="H15" s="714"/>
      <c r="I15" s="714"/>
      <c r="J15" s="714"/>
      <c r="K15" s="714"/>
      <c r="L15" s="714"/>
      <c r="M15" s="714"/>
      <c r="N15" s="714"/>
      <c r="O15" s="714"/>
      <c r="P15" s="714"/>
      <c r="Q15" s="714"/>
      <c r="R15" s="656"/>
      <c r="S15" s="656"/>
      <c r="T15" s="656"/>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8"/>
      <c r="AY15" s="258"/>
      <c r="AZ15" s="258"/>
      <c r="BA15" s="258"/>
      <c r="BB15" s="258"/>
      <c r="BC15" s="258"/>
      <c r="BD15" s="258"/>
      <c r="BE15" s="258"/>
      <c r="BF15" s="258"/>
      <c r="BG15" s="258"/>
      <c r="BH15" s="258"/>
      <c r="BI15" s="258"/>
      <c r="BJ15" s="258"/>
      <c r="BK15" s="258"/>
      <c r="BL15" s="258"/>
      <c r="BM15" s="258"/>
      <c r="BN15" s="258"/>
      <c r="BO15" s="258"/>
      <c r="BP15" s="258"/>
      <c r="BQ15" s="258"/>
      <c r="BR15" s="258"/>
      <c r="BS15" s="258"/>
      <c r="BT15" s="258"/>
      <c r="CF15" s="261"/>
      <c r="CG15" s="278"/>
    </row>
    <row r="16" spans="1:85" s="3" customFormat="1" ht="15" customHeight="1">
      <c r="A16" s="3">
        <v>1</v>
      </c>
      <c r="B16" s="259"/>
      <c r="C16" s="259"/>
      <c r="D16" s="259"/>
      <c r="E16" s="259"/>
      <c r="F16" s="259"/>
      <c r="G16" s="259"/>
      <c r="H16" s="259"/>
      <c r="I16" s="259"/>
      <c r="J16" s="259"/>
      <c r="K16" s="259"/>
      <c r="L16" s="259"/>
      <c r="M16" s="259"/>
      <c r="N16" s="259"/>
      <c r="O16" s="259"/>
      <c r="P16" s="259"/>
      <c r="Q16" s="259"/>
      <c r="R16" s="279"/>
      <c r="S16" s="279"/>
      <c r="T16" s="279"/>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258"/>
      <c r="BE16" s="258"/>
      <c r="BF16" s="258"/>
      <c r="BG16" s="258"/>
      <c r="BH16" s="258"/>
      <c r="BI16" s="258"/>
      <c r="BJ16" s="258"/>
      <c r="BK16" s="258"/>
      <c r="BL16" s="258"/>
      <c r="BM16" s="258"/>
      <c r="BN16" s="258"/>
      <c r="BO16" s="258"/>
      <c r="BP16" s="258"/>
      <c r="BQ16" s="258"/>
      <c r="BR16" s="258"/>
      <c r="BS16" s="258"/>
      <c r="BT16" s="258"/>
      <c r="CF16" s="261"/>
      <c r="CG16" s="278"/>
    </row>
    <row r="17" spans="1:82" s="3" customFormat="1" ht="16.5" customHeight="1">
      <c r="A17" s="3">
        <v>1</v>
      </c>
      <c r="B17" s="713" t="s">
        <v>799</v>
      </c>
      <c r="C17" s="664"/>
      <c r="D17" s="664"/>
      <c r="E17" s="664"/>
      <c r="F17" s="664"/>
      <c r="G17" s="664"/>
      <c r="H17" s="664"/>
      <c r="I17" s="664"/>
      <c r="J17" s="664"/>
      <c r="K17" s="664"/>
      <c r="L17" s="664"/>
      <c r="M17" s="664"/>
      <c r="N17" s="664"/>
      <c r="O17" s="664"/>
      <c r="P17" s="664"/>
      <c r="Q17" s="664"/>
      <c r="R17" s="664"/>
      <c r="S17" s="664"/>
      <c r="T17" s="664"/>
      <c r="U17" s="664"/>
      <c r="V17" s="664"/>
      <c r="W17" s="664"/>
      <c r="X17" s="664"/>
      <c r="Y17" s="664"/>
      <c r="Z17" s="664"/>
      <c r="AA17" s="664"/>
      <c r="AB17" s="664"/>
      <c r="AC17" s="664"/>
      <c r="AD17" s="664"/>
      <c r="AE17" s="664"/>
      <c r="AF17" s="664"/>
      <c r="AG17" s="664"/>
      <c r="AH17" s="664"/>
      <c r="AI17" s="664"/>
      <c r="AJ17" s="664"/>
      <c r="AK17" s="664"/>
      <c r="AL17" s="664"/>
      <c r="AM17" s="664"/>
      <c r="AN17" s="664"/>
      <c r="AO17" s="664"/>
      <c r="AP17" s="664"/>
      <c r="AQ17" s="664"/>
      <c r="AR17" s="664"/>
      <c r="AS17" s="664"/>
      <c r="AT17" s="664"/>
      <c r="AU17" s="664"/>
      <c r="AV17" s="664"/>
      <c r="AW17" s="664"/>
      <c r="AX17" s="664"/>
      <c r="AY17" s="664"/>
      <c r="AZ17" s="664"/>
      <c r="BA17" s="664"/>
      <c r="BB17" s="664"/>
      <c r="BC17" s="664"/>
      <c r="BD17" s="664"/>
      <c r="BE17" s="664"/>
      <c r="BF17" s="664"/>
      <c r="BG17" s="664"/>
      <c r="BH17" s="664"/>
      <c r="BI17" s="664"/>
      <c r="BJ17" s="664"/>
      <c r="BK17" s="664"/>
      <c r="BL17" s="664"/>
      <c r="BM17" s="664"/>
      <c r="BN17" s="664"/>
      <c r="BO17" s="664"/>
      <c r="BP17" s="664"/>
      <c r="BQ17" s="664"/>
      <c r="BR17" s="664"/>
      <c r="BS17" s="664"/>
      <c r="BT17" s="664"/>
      <c r="BU17" s="664"/>
      <c r="BV17" s="664"/>
      <c r="BW17" s="664"/>
      <c r="BX17" s="664"/>
      <c r="BY17" s="664"/>
      <c r="BZ17" s="664"/>
      <c r="CA17" s="664"/>
      <c r="CD17" s="260"/>
    </row>
    <row r="18" spans="1:3" s="3" customFormat="1" ht="16.5" customHeight="1">
      <c r="A18" s="3">
        <v>1</v>
      </c>
      <c r="B18" s="267"/>
      <c r="C18" s="3" t="e">
        <f>" "&amp;#REF!&amp;" "&amp;#REF!&amp;"   Edificio sito in "&amp;#REF!&amp;", "&amp;#REF!&amp;" - "&amp;#REF!&amp;" - "&amp;#REF!&amp;" ("&amp;#REF!&amp;")"</f>
        <v>#REF!</v>
      </c>
    </row>
    <row r="19" spans="1:49" s="3" customFormat="1" ht="16.5" customHeight="1">
      <c r="A19" s="3">
        <v>1</v>
      </c>
      <c r="I19" s="261" t="s">
        <v>752</v>
      </c>
      <c r="J19" s="3" t="e">
        <f>#REF!</f>
        <v>#REF!</v>
      </c>
      <c r="U19" s="3" t="s">
        <v>750</v>
      </c>
      <c r="AB19" s="3" t="e">
        <f>#REF!</f>
        <v>#REF!</v>
      </c>
      <c r="AV19" s="261" t="s">
        <v>751</v>
      </c>
      <c r="AW19" s="3" t="e">
        <f>#REF!</f>
        <v>#REF!</v>
      </c>
    </row>
    <row r="20" spans="1:48" s="3" customFormat="1" ht="16.5" customHeight="1">
      <c r="A20" s="3">
        <v>1</v>
      </c>
      <c r="I20" s="261"/>
      <c r="AV20" s="261"/>
    </row>
    <row r="21" spans="1:83" s="3" customFormat="1" ht="18.75" customHeight="1">
      <c r="A21" s="3">
        <v>1</v>
      </c>
      <c r="B21" s="713" t="s">
        <v>759</v>
      </c>
      <c r="C21" s="664"/>
      <c r="D21" s="664"/>
      <c r="E21" s="664"/>
      <c r="F21" s="664"/>
      <c r="G21" s="664"/>
      <c r="H21" s="664"/>
      <c r="I21" s="664"/>
      <c r="J21" s="664"/>
      <c r="K21" s="664"/>
      <c r="L21" s="664"/>
      <c r="M21" s="664"/>
      <c r="N21" s="664"/>
      <c r="O21" s="664"/>
      <c r="P21" s="664"/>
      <c r="Q21" s="664"/>
      <c r="R21" s="664"/>
      <c r="S21" s="664"/>
      <c r="T21" s="664"/>
      <c r="U21" s="664"/>
      <c r="V21" s="664"/>
      <c r="W21" s="664"/>
      <c r="X21" s="664"/>
      <c r="Y21" s="664"/>
      <c r="Z21" s="664"/>
      <c r="AA21" s="664"/>
      <c r="AB21" s="664"/>
      <c r="AC21" s="664"/>
      <c r="AD21" s="664"/>
      <c r="AE21" s="664"/>
      <c r="AF21" s="664"/>
      <c r="AG21" s="664"/>
      <c r="AH21" s="664"/>
      <c r="AI21" s="664"/>
      <c r="AJ21" s="664"/>
      <c r="AK21" s="664"/>
      <c r="AL21" s="664"/>
      <c r="AM21" s="664"/>
      <c r="AN21" s="664"/>
      <c r="AO21" s="664"/>
      <c r="AP21" s="664"/>
      <c r="AQ21" s="664"/>
      <c r="AR21" s="664"/>
      <c r="AS21" s="664"/>
      <c r="AT21" s="664"/>
      <c r="AU21" s="664"/>
      <c r="AV21" s="664"/>
      <c r="AW21" s="664"/>
      <c r="AX21" s="664"/>
      <c r="AY21" s="664"/>
      <c r="AZ21" s="664"/>
      <c r="BA21" s="664"/>
      <c r="BB21" s="664"/>
      <c r="BC21" s="664"/>
      <c r="BD21" s="664"/>
      <c r="BE21" s="664"/>
      <c r="BF21" s="664"/>
      <c r="BG21" s="664"/>
      <c r="BH21" s="664"/>
      <c r="BI21" s="664"/>
      <c r="BJ21" s="664"/>
      <c r="BK21" s="664"/>
      <c r="BL21" s="664"/>
      <c r="BM21" s="664"/>
      <c r="BN21" s="664"/>
      <c r="BO21" s="664"/>
      <c r="BP21" s="664"/>
      <c r="BQ21" s="664"/>
      <c r="BR21" s="664"/>
      <c r="BS21" s="664"/>
      <c r="BT21" s="664"/>
      <c r="BU21" s="664"/>
      <c r="BV21" s="664"/>
      <c r="BW21" s="664"/>
      <c r="BX21" s="664"/>
      <c r="BY21" s="664"/>
      <c r="BZ21" s="664"/>
      <c r="CA21" s="664"/>
      <c r="CE21" s="280" t="s">
        <v>864</v>
      </c>
    </row>
    <row r="22" spans="1:79" s="3" customFormat="1" ht="16.5" customHeight="1">
      <c r="A22" s="3">
        <v>1</v>
      </c>
      <c r="B22" s="267" t="s">
        <v>759</v>
      </c>
      <c r="U22" s="689" t="e">
        <f>"disposta su "&amp;#REF!&amp;" "&amp;CD28&amp;" per una superficie riscaldata totale di "&amp;#REF!&amp;" m2"</f>
        <v>#REF!</v>
      </c>
      <c r="V22" s="664"/>
      <c r="W22" s="664"/>
      <c r="X22" s="664"/>
      <c r="Y22" s="664"/>
      <c r="Z22" s="664"/>
      <c r="AA22" s="664"/>
      <c r="AB22" s="664"/>
      <c r="AC22" s="664"/>
      <c r="AD22" s="664"/>
      <c r="AE22" s="664"/>
      <c r="AF22" s="664"/>
      <c r="AG22" s="664"/>
      <c r="AH22" s="664"/>
      <c r="AI22" s="664"/>
      <c r="AJ22" s="664"/>
      <c r="AK22" s="664"/>
      <c r="AL22" s="664"/>
      <c r="AM22" s="664"/>
      <c r="AN22" s="664"/>
      <c r="AO22" s="664"/>
      <c r="AP22" s="664"/>
      <c r="AQ22" s="664"/>
      <c r="AR22" s="664"/>
      <c r="AS22" s="664"/>
      <c r="AT22" s="664"/>
      <c r="AU22" s="664"/>
      <c r="AV22" s="664"/>
      <c r="AW22" s="664"/>
      <c r="AX22" s="664"/>
      <c r="AY22" s="664"/>
      <c r="AZ22" s="664"/>
      <c r="BA22" s="664"/>
      <c r="BB22" s="664"/>
      <c r="BC22" s="664"/>
      <c r="BD22" s="664"/>
      <c r="BE22" s="664"/>
      <c r="BF22" s="664"/>
      <c r="BG22" s="664"/>
      <c r="BH22" s="664"/>
      <c r="BI22" s="664"/>
      <c r="BJ22" s="664"/>
      <c r="BK22" s="664"/>
      <c r="BL22" s="664"/>
      <c r="BM22" s="664"/>
      <c r="BN22" s="664"/>
      <c r="BO22" s="664"/>
      <c r="BP22" s="664"/>
      <c r="BQ22" s="664"/>
      <c r="BR22" s="664"/>
      <c r="BS22" s="664"/>
      <c r="BT22" s="664"/>
      <c r="BU22" s="664"/>
      <c r="BV22" s="664"/>
      <c r="BW22" s="664"/>
      <c r="BX22" s="664"/>
      <c r="BY22" s="664"/>
      <c r="BZ22" s="664"/>
      <c r="CA22" s="664"/>
    </row>
    <row r="23" spans="1:84" s="3" customFormat="1" ht="16.5" customHeight="1">
      <c r="A23" s="3">
        <v>1</v>
      </c>
      <c r="B23" s="689" t="str">
        <f>"Impianto di riscaldamento a "&amp;Simulatore!AX8&amp;", sistema radiante "&amp;Simulatore!AO6&amp;""</f>
        <v>Impianto di riscaldamento a Metano, sistema radiante a termosifoni</v>
      </c>
      <c r="C23" s="664"/>
      <c r="D23" s="664"/>
      <c r="E23" s="664"/>
      <c r="F23" s="664"/>
      <c r="G23" s="664"/>
      <c r="H23" s="664"/>
      <c r="I23" s="664"/>
      <c r="J23" s="664"/>
      <c r="K23" s="664"/>
      <c r="L23" s="664"/>
      <c r="M23" s="664"/>
      <c r="N23" s="664"/>
      <c r="O23" s="664"/>
      <c r="P23" s="664"/>
      <c r="Q23" s="664"/>
      <c r="R23" s="664"/>
      <c r="S23" s="664"/>
      <c r="T23" s="664"/>
      <c r="U23" s="664"/>
      <c r="V23" s="664"/>
      <c r="W23" s="664"/>
      <c r="X23" s="664"/>
      <c r="Y23" s="664"/>
      <c r="Z23" s="664"/>
      <c r="AA23" s="664"/>
      <c r="AB23" s="664"/>
      <c r="AC23" s="664"/>
      <c r="AD23" s="664"/>
      <c r="AE23" s="664"/>
      <c r="AF23" s="664"/>
      <c r="AG23" s="664"/>
      <c r="AH23" s="664"/>
      <c r="AI23" s="664"/>
      <c r="AJ23" s="664"/>
      <c r="AK23" s="664"/>
      <c r="AL23" s="664"/>
      <c r="AM23" s="664"/>
      <c r="AN23" s="664"/>
      <c r="AO23" s="664"/>
      <c r="AP23" s="664"/>
      <c r="AQ23" s="664"/>
      <c r="AR23" s="664"/>
      <c r="AS23" s="664"/>
      <c r="AT23" s="664"/>
      <c r="AU23" s="664"/>
      <c r="AV23" s="664"/>
      <c r="AW23" s="664"/>
      <c r="AX23" s="664"/>
      <c r="AY23" s="664"/>
      <c r="AZ23" s="664"/>
      <c r="BA23" s="664"/>
      <c r="BB23" s="664"/>
      <c r="BC23" s="664"/>
      <c r="BD23" s="664"/>
      <c r="BE23" s="664"/>
      <c r="BF23" s="664"/>
      <c r="BG23" s="664"/>
      <c r="BH23" s="664"/>
      <c r="BI23" s="664"/>
      <c r="BJ23" s="664"/>
      <c r="BK23" s="664"/>
      <c r="BL23" s="664"/>
      <c r="BM23" s="664"/>
      <c r="BN23" s="664"/>
      <c r="BO23" s="664"/>
      <c r="BP23" s="664"/>
      <c r="BQ23" s="664"/>
      <c r="BR23" s="664"/>
      <c r="BS23" s="664"/>
      <c r="BT23" s="664"/>
      <c r="BU23" s="664"/>
      <c r="BV23" s="664"/>
      <c r="BW23" s="664"/>
      <c r="BX23" s="664"/>
      <c r="BY23" s="664"/>
      <c r="BZ23" s="664"/>
      <c r="CA23" s="664"/>
      <c r="CD23" s="176">
        <v>2</v>
      </c>
      <c r="CE23" s="178" t="s">
        <v>767</v>
      </c>
      <c r="CF23" s="171">
        <f>VLOOKUP(CD23,$CD$24:$CF$26,3,)</f>
        <v>1</v>
      </c>
    </row>
    <row r="24" spans="1:84" s="3" customFormat="1" ht="16.5" customHeight="1">
      <c r="A24" s="3">
        <v>1</v>
      </c>
      <c r="B24" s="267" t="s">
        <v>770</v>
      </c>
      <c r="N24" s="719">
        <f>IF($CF$23=1,Riqualificazione!O10,$CE$23)</f>
        <v>3</v>
      </c>
      <c r="O24" s="719"/>
      <c r="P24" s="719"/>
      <c r="Q24" s="719"/>
      <c r="R24" s="719"/>
      <c r="AC24" s="3" t="s">
        <v>766</v>
      </c>
      <c r="AP24" s="3" t="s">
        <v>660</v>
      </c>
      <c r="AY24" s="3" t="s">
        <v>661</v>
      </c>
      <c r="BG24" s="267"/>
      <c r="BH24" s="3" t="s">
        <v>662</v>
      </c>
      <c r="BI24" s="267"/>
      <c r="BJ24" s="267"/>
      <c r="BK24" s="267"/>
      <c r="BL24" s="267"/>
      <c r="BM24" s="267"/>
      <c r="BN24" s="267"/>
      <c r="BS24" s="267" t="s">
        <v>27</v>
      </c>
      <c r="CD24" s="178"/>
      <c r="CE24" s="177" t="s">
        <v>862</v>
      </c>
      <c r="CF24" s="178"/>
    </row>
    <row r="25" spans="1:84" s="3" customFormat="1" ht="16.5" customHeight="1">
      <c r="A25" s="3">
        <v>1</v>
      </c>
      <c r="B25" s="663" t="s">
        <v>866</v>
      </c>
      <c r="C25" s="664"/>
      <c r="D25" s="664"/>
      <c r="E25" s="664"/>
      <c r="F25" s="664"/>
      <c r="G25" s="664"/>
      <c r="H25" s="664"/>
      <c r="I25" s="664"/>
      <c r="J25" s="664"/>
      <c r="K25" s="664"/>
      <c r="L25" s="664"/>
      <c r="M25" s="664"/>
      <c r="N25" s="664"/>
      <c r="O25" s="664"/>
      <c r="P25" s="664"/>
      <c r="Q25" s="664"/>
      <c r="R25" s="664"/>
      <c r="S25" s="664"/>
      <c r="T25" s="664"/>
      <c r="U25" s="664"/>
      <c r="V25" s="664"/>
      <c r="W25" s="664"/>
      <c r="X25" s="658" t="s">
        <v>884</v>
      </c>
      <c r="Y25" s="658"/>
      <c r="Z25" s="658"/>
      <c r="AA25" s="658"/>
      <c r="AB25" s="715">
        <f>IF($CF$23=1,Riqualificazione!C15,$CE$23)</f>
        <v>42</v>
      </c>
      <c r="AC25" s="664"/>
      <c r="AD25" s="664"/>
      <c r="AE25" s="664"/>
      <c r="AF25" s="664"/>
      <c r="AG25" s="664"/>
      <c r="AH25" s="664"/>
      <c r="AI25" s="664"/>
      <c r="AJ25" s="664"/>
      <c r="AK25" s="664"/>
      <c r="AL25" s="715">
        <f>IF($CF$23=1,Riqualificazione!D15,$CE$23)</f>
        <v>70</v>
      </c>
      <c r="AM25" s="664"/>
      <c r="AN25" s="664"/>
      <c r="AO25" s="664"/>
      <c r="AP25" s="664"/>
      <c r="AQ25" s="664"/>
      <c r="AR25" s="664"/>
      <c r="AS25" s="664"/>
      <c r="AT25" s="664"/>
      <c r="AU25" s="664"/>
      <c r="AV25" s="715">
        <f>IF($CF$23=1,Riqualificazione!E15,$CE$23)</f>
        <v>42</v>
      </c>
      <c r="AW25" s="662"/>
      <c r="AX25" s="662"/>
      <c r="AY25" s="662"/>
      <c r="AZ25" s="662"/>
      <c r="BA25" s="662"/>
      <c r="BB25" s="662"/>
      <c r="BC25" s="662"/>
      <c r="BD25" s="662"/>
      <c r="BE25" s="662"/>
      <c r="BF25" s="715">
        <f>IF($CF$23=1,Riqualificazione!G6,$CE$23)</f>
        <v>0</v>
      </c>
      <c r="BG25" s="664"/>
      <c r="BH25" s="664"/>
      <c r="BI25" s="664"/>
      <c r="BJ25" s="664"/>
      <c r="BK25" s="664"/>
      <c r="BL25" s="664"/>
      <c r="BM25" s="664"/>
      <c r="BN25" s="664"/>
      <c r="BO25" s="664"/>
      <c r="BP25" s="716">
        <f>IF($CF$23=1,CA25,$CE$23)</f>
        <v>154</v>
      </c>
      <c r="BQ25" s="664"/>
      <c r="BR25" s="664"/>
      <c r="BS25" s="664"/>
      <c r="BT25" s="664"/>
      <c r="BU25" s="664"/>
      <c r="BV25" s="664"/>
      <c r="BW25" s="664"/>
      <c r="BX25" s="664"/>
      <c r="BY25" s="664"/>
      <c r="BZ25" s="664"/>
      <c r="CA25" s="264">
        <f>AB25+AL25+AV25+BF25</f>
        <v>154</v>
      </c>
      <c r="CD25" s="176">
        <v>1</v>
      </c>
      <c r="CE25" s="176" t="s">
        <v>860</v>
      </c>
      <c r="CF25" s="176">
        <v>0</v>
      </c>
    </row>
    <row r="26" spans="1:84" s="3" customFormat="1" ht="16.5" customHeight="1">
      <c r="A26" s="3">
        <v>1</v>
      </c>
      <c r="B26" s="663" t="s">
        <v>867</v>
      </c>
      <c r="C26" s="664"/>
      <c r="D26" s="664"/>
      <c r="E26" s="664"/>
      <c r="F26" s="664"/>
      <c r="G26" s="664"/>
      <c r="H26" s="664"/>
      <c r="I26" s="664"/>
      <c r="J26" s="664"/>
      <c r="K26" s="664"/>
      <c r="L26" s="664"/>
      <c r="M26" s="664"/>
      <c r="N26" s="664"/>
      <c r="O26" s="664"/>
      <c r="P26" s="664"/>
      <c r="Q26" s="664"/>
      <c r="R26" s="664"/>
      <c r="S26" s="664"/>
      <c r="T26" s="664"/>
      <c r="U26" s="664"/>
      <c r="V26" s="664"/>
      <c r="W26" s="664"/>
      <c r="X26" s="658" t="s">
        <v>884</v>
      </c>
      <c r="Y26" s="658"/>
      <c r="Z26" s="658"/>
      <c r="AA26" s="658"/>
      <c r="AB26" s="715">
        <f>IF($CF$23=1,Riqualificazione!C16,$CE$23)</f>
        <v>32.25</v>
      </c>
      <c r="AC26" s="664"/>
      <c r="AD26" s="664"/>
      <c r="AE26" s="664"/>
      <c r="AF26" s="664"/>
      <c r="AG26" s="664"/>
      <c r="AH26" s="664"/>
      <c r="AI26" s="664"/>
      <c r="AJ26" s="664"/>
      <c r="AK26" s="664"/>
      <c r="AL26" s="715">
        <f>IF($CF$23=1,Riqualificazione!D16,$CE$23)</f>
        <v>56.3</v>
      </c>
      <c r="AM26" s="664"/>
      <c r="AN26" s="664"/>
      <c r="AO26" s="664"/>
      <c r="AP26" s="664"/>
      <c r="AQ26" s="664"/>
      <c r="AR26" s="664"/>
      <c r="AS26" s="664"/>
      <c r="AT26" s="664"/>
      <c r="AU26" s="664"/>
      <c r="AV26" s="715">
        <f>IF($CF$23=1,Riqualificazione!E16,$CE$23)</f>
        <v>24.349999999999998</v>
      </c>
      <c r="AW26" s="662"/>
      <c r="AX26" s="662"/>
      <c r="AY26" s="662"/>
      <c r="AZ26" s="662"/>
      <c r="BA26" s="662"/>
      <c r="BB26" s="662"/>
      <c r="BC26" s="662"/>
      <c r="BD26" s="662"/>
      <c r="BE26" s="662"/>
      <c r="BF26" s="715">
        <f>IF($CF$23=1,Riqualificazione!G7,$CE$23)</f>
        <v>0</v>
      </c>
      <c r="BG26" s="664"/>
      <c r="BH26" s="664"/>
      <c r="BI26" s="664"/>
      <c r="BJ26" s="664"/>
      <c r="BK26" s="664"/>
      <c r="BL26" s="664"/>
      <c r="BM26" s="664"/>
      <c r="BN26" s="664"/>
      <c r="BO26" s="664"/>
      <c r="BP26" s="716">
        <f>IF($CF$23=1,CA26,$CE$23)</f>
        <v>112.89999999999999</v>
      </c>
      <c r="BQ26" s="664"/>
      <c r="BR26" s="664"/>
      <c r="BS26" s="664"/>
      <c r="BT26" s="664"/>
      <c r="BU26" s="664"/>
      <c r="BV26" s="664"/>
      <c r="BW26" s="664"/>
      <c r="BX26" s="664"/>
      <c r="BY26" s="664"/>
      <c r="BZ26" s="664"/>
      <c r="CA26" s="264">
        <f>AB26+AL26+AV26+BF26</f>
        <v>112.89999999999999</v>
      </c>
      <c r="CD26" s="176">
        <v>2</v>
      </c>
      <c r="CE26" s="176" t="s">
        <v>861</v>
      </c>
      <c r="CF26" s="176">
        <v>1</v>
      </c>
    </row>
    <row r="27" spans="1:92" s="3" customFormat="1" ht="16.5" customHeight="1">
      <c r="A27" s="3">
        <v>1</v>
      </c>
      <c r="B27" s="663" t="s">
        <v>868</v>
      </c>
      <c r="C27" s="664"/>
      <c r="D27" s="664"/>
      <c r="E27" s="664"/>
      <c r="F27" s="664"/>
      <c r="G27" s="664"/>
      <c r="H27" s="664"/>
      <c r="I27" s="664"/>
      <c r="J27" s="664"/>
      <c r="K27" s="664"/>
      <c r="L27" s="664"/>
      <c r="M27" s="664"/>
      <c r="N27" s="664"/>
      <c r="O27" s="664"/>
      <c r="P27" s="664"/>
      <c r="Q27" s="664"/>
      <c r="R27" s="664"/>
      <c r="S27" s="664"/>
      <c r="T27" s="664"/>
      <c r="U27" s="664"/>
      <c r="V27" s="664"/>
      <c r="W27" s="664"/>
      <c r="X27" s="658" t="s">
        <v>884</v>
      </c>
      <c r="Y27" s="658"/>
      <c r="Z27" s="658"/>
      <c r="AA27" s="658"/>
      <c r="AB27" s="715">
        <f>IF($CF$23=1,Riqualificazione!C17,$CE$23)</f>
        <v>9.75</v>
      </c>
      <c r="AC27" s="664"/>
      <c r="AD27" s="664"/>
      <c r="AE27" s="664"/>
      <c r="AF27" s="664"/>
      <c r="AG27" s="664"/>
      <c r="AH27" s="664"/>
      <c r="AI27" s="664"/>
      <c r="AJ27" s="664"/>
      <c r="AK27" s="664"/>
      <c r="AL27" s="715">
        <f>IF($CF$23=1,Riqualificazione!D17,$CE$23)</f>
        <v>11.700000000000001</v>
      </c>
      <c r="AM27" s="664"/>
      <c r="AN27" s="664"/>
      <c r="AO27" s="664"/>
      <c r="AP27" s="664"/>
      <c r="AQ27" s="664"/>
      <c r="AR27" s="664"/>
      <c r="AS27" s="664"/>
      <c r="AT27" s="664"/>
      <c r="AU27" s="664"/>
      <c r="AV27" s="715">
        <f>IF($CF$23=1,Riqualificazione!E17,$CE$23)</f>
        <v>13.650000000000002</v>
      </c>
      <c r="AW27" s="662"/>
      <c r="AX27" s="662"/>
      <c r="AY27" s="662"/>
      <c r="AZ27" s="662"/>
      <c r="BA27" s="662"/>
      <c r="BB27" s="662"/>
      <c r="BC27" s="662"/>
      <c r="BD27" s="662"/>
      <c r="BE27" s="662"/>
      <c r="BF27" s="715">
        <f>IF($CF$23=1,Riqualificazione!G8,$CE$23)</f>
        <v>0</v>
      </c>
      <c r="BG27" s="664"/>
      <c r="BH27" s="664"/>
      <c r="BI27" s="664"/>
      <c r="BJ27" s="664"/>
      <c r="BK27" s="664"/>
      <c r="BL27" s="664"/>
      <c r="BM27" s="664"/>
      <c r="BN27" s="664"/>
      <c r="BO27" s="664"/>
      <c r="BP27" s="716">
        <f>IF($CF$23=1,CA27,$CE$23)</f>
        <v>35.10000000000001</v>
      </c>
      <c r="BQ27" s="664"/>
      <c r="BR27" s="664"/>
      <c r="BS27" s="664"/>
      <c r="BT27" s="664"/>
      <c r="BU27" s="664"/>
      <c r="BV27" s="664"/>
      <c r="BW27" s="664"/>
      <c r="BX27" s="664"/>
      <c r="BY27" s="664"/>
      <c r="BZ27" s="664"/>
      <c r="CA27" s="264">
        <f>AB27+AL27+AV27+BF27</f>
        <v>35.10000000000001</v>
      </c>
      <c r="CD27" s="178"/>
      <c r="CE27" s="178"/>
      <c r="CF27" s="178"/>
      <c r="CN27" s="281"/>
    </row>
    <row r="28" spans="1:84" s="3" customFormat="1" ht="16.5" customHeight="1">
      <c r="A28" s="3">
        <v>1</v>
      </c>
      <c r="B28" s="663" t="s">
        <v>869</v>
      </c>
      <c r="C28" s="663"/>
      <c r="D28" s="663"/>
      <c r="E28" s="663"/>
      <c r="F28" s="663"/>
      <c r="G28" s="663"/>
      <c r="H28" s="663"/>
      <c r="I28" s="663"/>
      <c r="J28" s="663"/>
      <c r="K28" s="663"/>
      <c r="L28" s="663"/>
      <c r="M28" s="663"/>
      <c r="N28" s="663"/>
      <c r="O28" s="663"/>
      <c r="P28" s="663"/>
      <c r="Q28" s="663"/>
      <c r="R28" s="663"/>
      <c r="S28" s="663"/>
      <c r="T28" s="663"/>
      <c r="U28" s="663"/>
      <c r="V28" s="663"/>
      <c r="W28" s="663"/>
      <c r="X28" s="658" t="s">
        <v>884</v>
      </c>
      <c r="Y28" s="658"/>
      <c r="Z28" s="658"/>
      <c r="AA28" s="658"/>
      <c r="AB28" s="715">
        <f>IF($CF$23=1,Riqualificazione!C18,$CE$23)</f>
        <v>0</v>
      </c>
      <c r="AC28" s="664"/>
      <c r="AD28" s="664"/>
      <c r="AE28" s="664"/>
      <c r="AF28" s="664"/>
      <c r="AG28" s="664"/>
      <c r="AH28" s="664"/>
      <c r="AI28" s="664"/>
      <c r="AJ28" s="664"/>
      <c r="AK28" s="664"/>
      <c r="AL28" s="715">
        <f>IF($CF$23=1,Riqualificazione!D18,$CE$23)</f>
        <v>2</v>
      </c>
      <c r="AM28" s="664"/>
      <c r="AN28" s="664"/>
      <c r="AO28" s="664"/>
      <c r="AP28" s="664"/>
      <c r="AQ28" s="664"/>
      <c r="AR28" s="664"/>
      <c r="AS28" s="664"/>
      <c r="AT28" s="664"/>
      <c r="AU28" s="664"/>
      <c r="AV28" s="715">
        <f>IF($CF$23=1,Riqualificazione!E18,$CE$23)</f>
        <v>4</v>
      </c>
      <c r="AW28" s="662"/>
      <c r="AX28" s="662"/>
      <c r="AY28" s="662"/>
      <c r="AZ28" s="662"/>
      <c r="BA28" s="662"/>
      <c r="BB28" s="662"/>
      <c r="BC28" s="662"/>
      <c r="BD28" s="662"/>
      <c r="BE28" s="662"/>
      <c r="BF28" s="715">
        <f>IF($CF$23=1,Riqualificazione!G9,$CE$23)</f>
        <v>0</v>
      </c>
      <c r="BG28" s="664"/>
      <c r="BH28" s="664"/>
      <c r="BI28" s="664"/>
      <c r="BJ28" s="664"/>
      <c r="BK28" s="664"/>
      <c r="BL28" s="664"/>
      <c r="BM28" s="664"/>
      <c r="BN28" s="664"/>
      <c r="BO28" s="664"/>
      <c r="BP28" s="716">
        <f>IF($CF$23=1,CA28,$CE$23)</f>
        <v>6</v>
      </c>
      <c r="BQ28" s="664"/>
      <c r="BR28" s="664"/>
      <c r="BS28" s="664"/>
      <c r="BT28" s="664"/>
      <c r="BU28" s="664"/>
      <c r="BV28" s="664"/>
      <c r="BW28" s="664"/>
      <c r="BX28" s="664"/>
      <c r="BY28" s="664"/>
      <c r="BZ28" s="664"/>
      <c r="CA28" s="264">
        <f>AB28+AL28+AV28+BF28</f>
        <v>6</v>
      </c>
      <c r="CD28" s="178" t="e">
        <f>IF(#REF!=1,CF28,CE28)</f>
        <v>#REF!</v>
      </c>
      <c r="CE28" s="178" t="s">
        <v>761</v>
      </c>
      <c r="CF28" s="178" t="s">
        <v>760</v>
      </c>
    </row>
    <row r="29" spans="1:84" s="3" customFormat="1" ht="16.5" customHeight="1">
      <c r="A29" s="3">
        <v>1</v>
      </c>
      <c r="B29" s="184"/>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2"/>
      <c r="AZ29" s="262"/>
      <c r="BA29" s="262"/>
      <c r="BB29" s="262"/>
      <c r="BC29" s="262"/>
      <c r="BD29" s="262"/>
      <c r="BE29" s="262"/>
      <c r="BF29" s="262"/>
      <c r="BG29" s="263"/>
      <c r="BH29" s="263"/>
      <c r="BI29" s="263"/>
      <c r="BJ29" s="263"/>
      <c r="BK29" s="263"/>
      <c r="BL29" s="263"/>
      <c r="BM29" s="263"/>
      <c r="BN29" s="263"/>
      <c r="BP29" s="264"/>
      <c r="CD29" s="178"/>
      <c r="CE29" s="178"/>
      <c r="CF29" s="178"/>
    </row>
    <row r="30" spans="1:79" s="3" customFormat="1" ht="16.5" customHeight="1">
      <c r="A30" s="3">
        <v>1</v>
      </c>
      <c r="B30" s="713" t="s">
        <v>800</v>
      </c>
      <c r="C30" s="664"/>
      <c r="D30" s="664"/>
      <c r="E30" s="664"/>
      <c r="F30" s="664"/>
      <c r="G30" s="664"/>
      <c r="H30" s="664"/>
      <c r="I30" s="664"/>
      <c r="J30" s="664"/>
      <c r="K30" s="664"/>
      <c r="L30" s="664"/>
      <c r="M30" s="664"/>
      <c r="N30" s="664"/>
      <c r="O30" s="664"/>
      <c r="P30" s="664"/>
      <c r="Q30" s="664"/>
      <c r="R30" s="664"/>
      <c r="S30" s="664"/>
      <c r="T30" s="664"/>
      <c r="U30" s="664"/>
      <c r="V30" s="664"/>
      <c r="W30" s="664"/>
      <c r="X30" s="664"/>
      <c r="Y30" s="664"/>
      <c r="Z30" s="664"/>
      <c r="AA30" s="664"/>
      <c r="AB30" s="664"/>
      <c r="AC30" s="664"/>
      <c r="AD30" s="664"/>
      <c r="AE30" s="664"/>
      <c r="AF30" s="664"/>
      <c r="AG30" s="664"/>
      <c r="AH30" s="664"/>
      <c r="AI30" s="664"/>
      <c r="AJ30" s="664"/>
      <c r="AK30" s="664"/>
      <c r="AL30" s="664"/>
      <c r="AM30" s="664"/>
      <c r="AN30" s="664"/>
      <c r="AO30" s="664"/>
      <c r="AP30" s="664"/>
      <c r="AQ30" s="664"/>
      <c r="AR30" s="664"/>
      <c r="AS30" s="664"/>
      <c r="AT30" s="664"/>
      <c r="AU30" s="664"/>
      <c r="AV30" s="664"/>
      <c r="AW30" s="664"/>
      <c r="AX30" s="664"/>
      <c r="AY30" s="664"/>
      <c r="AZ30" s="664"/>
      <c r="BA30" s="664"/>
      <c r="BB30" s="664"/>
      <c r="BC30" s="664"/>
      <c r="BD30" s="664"/>
      <c r="BE30" s="664"/>
      <c r="BF30" s="664"/>
      <c r="BG30" s="664"/>
      <c r="BH30" s="664"/>
      <c r="BI30" s="664"/>
      <c r="BJ30" s="664"/>
      <c r="BK30" s="664"/>
      <c r="BL30" s="664"/>
      <c r="BM30" s="664"/>
      <c r="BN30" s="664"/>
      <c r="BO30" s="664"/>
      <c r="BP30" s="664"/>
      <c r="BQ30" s="664"/>
      <c r="BR30" s="664"/>
      <c r="BS30" s="664"/>
      <c r="BT30" s="664"/>
      <c r="BU30" s="664"/>
      <c r="BV30" s="664"/>
      <c r="BW30" s="664"/>
      <c r="BX30" s="664"/>
      <c r="BY30" s="664"/>
      <c r="BZ30" s="664"/>
      <c r="CA30" s="664"/>
    </row>
    <row r="31" spans="1:69" s="3" customFormat="1" ht="16.5" customHeight="1">
      <c r="A31" s="3">
        <v>1</v>
      </c>
      <c r="B31" s="706" t="s">
        <v>801</v>
      </c>
      <c r="C31" s="706"/>
      <c r="D31" s="706"/>
      <c r="E31" s="706"/>
      <c r="F31" s="706"/>
      <c r="G31" s="706"/>
      <c r="H31" s="706"/>
      <c r="I31" s="706"/>
      <c r="J31" s="706"/>
      <c r="K31" s="706"/>
      <c r="L31" s="706"/>
      <c r="M31" s="706"/>
      <c r="N31" s="706"/>
      <c r="O31" s="706"/>
      <c r="P31" s="706"/>
      <c r="Q31" s="706"/>
      <c r="R31" s="706"/>
      <c r="S31" s="706"/>
      <c r="T31" s="706"/>
      <c r="U31" s="706"/>
      <c r="V31" s="706"/>
      <c r="X31" s="3" t="s">
        <v>383</v>
      </c>
      <c r="AK31" s="722">
        <f>Simulatore!C12</f>
        <v>3500</v>
      </c>
      <c r="AL31" s="658" t="e">
        <f>#REF!</f>
        <v>#REF!</v>
      </c>
      <c r="AM31" s="658"/>
      <c r="AN31" s="658"/>
      <c r="AO31" s="658"/>
      <c r="AP31" s="658"/>
      <c r="AQ31" s="3" t="s">
        <v>83</v>
      </c>
      <c r="BB31" s="292"/>
      <c r="BD31" s="3" t="s">
        <v>753</v>
      </c>
      <c r="BI31" s="676" t="e">
        <f>#REF!</f>
        <v>#REF!</v>
      </c>
      <c r="BJ31" s="664"/>
      <c r="BK31" s="664"/>
      <c r="BL31" s="664"/>
      <c r="BM31" s="664"/>
      <c r="BN31" s="664"/>
      <c r="BO31" s="664"/>
      <c r="BP31" s="664"/>
      <c r="BQ31" s="3" t="s">
        <v>649</v>
      </c>
    </row>
    <row r="32" spans="1:69" s="3" customFormat="1" ht="16.5" customHeight="1">
      <c r="A32" s="3">
        <v>1</v>
      </c>
      <c r="B32" s="706"/>
      <c r="C32" s="706"/>
      <c r="D32" s="706"/>
      <c r="E32" s="706"/>
      <c r="F32" s="706"/>
      <c r="G32" s="706"/>
      <c r="H32" s="706"/>
      <c r="I32" s="706"/>
      <c r="J32" s="706"/>
      <c r="K32" s="706"/>
      <c r="L32" s="706"/>
      <c r="M32" s="706"/>
      <c r="N32" s="706"/>
      <c r="O32" s="706"/>
      <c r="P32" s="706"/>
      <c r="Q32" s="706"/>
      <c r="R32" s="706"/>
      <c r="S32" s="706"/>
      <c r="T32" s="706"/>
      <c r="U32" s="706"/>
      <c r="V32" s="706"/>
      <c r="AI32" s="261" t="e">
        <f>#REF!</f>
        <v>#REF!</v>
      </c>
      <c r="AK32" s="722" t="e">
        <f>#REF!</f>
        <v>#REF!</v>
      </c>
      <c r="AL32" s="658"/>
      <c r="AM32" s="658"/>
      <c r="AN32" s="658"/>
      <c r="AO32" s="658"/>
      <c r="AP32" s="658"/>
      <c r="AQ32" s="3" t="s">
        <v>83</v>
      </c>
      <c r="BD32" s="3" t="s">
        <v>753</v>
      </c>
      <c r="BI32" s="676" t="e">
        <f>#REF!</f>
        <v>#REF!</v>
      </c>
      <c r="BJ32" s="664"/>
      <c r="BK32" s="664"/>
      <c r="BL32" s="664"/>
      <c r="BM32" s="664"/>
      <c r="BN32" s="664"/>
      <c r="BO32" s="664"/>
      <c r="BP32" s="664"/>
      <c r="BQ32" s="3" t="s">
        <v>649</v>
      </c>
    </row>
    <row r="33" spans="1:87" s="3" customFormat="1" ht="16.5" customHeight="1">
      <c r="A33" s="3">
        <v>1</v>
      </c>
      <c r="B33" s="720">
        <f>Simulatore!O23</f>
        <v>150.58869701726846</v>
      </c>
      <c r="C33" s="720"/>
      <c r="D33" s="720"/>
      <c r="E33" s="720"/>
      <c r="F33" s="720"/>
      <c r="G33" s="720"/>
      <c r="H33" s="720"/>
      <c r="I33" s="720"/>
      <c r="J33" s="720"/>
      <c r="K33" s="721" t="s">
        <v>885</v>
      </c>
      <c r="L33" s="721"/>
      <c r="M33" s="721"/>
      <c r="N33" s="721"/>
      <c r="O33" s="721"/>
      <c r="P33" s="721"/>
      <c r="Q33" s="721"/>
      <c r="R33" s="721"/>
      <c r="S33" s="721"/>
      <c r="T33" s="721"/>
      <c r="U33" s="721"/>
      <c r="V33" s="721"/>
      <c r="AI33" s="261" t="e">
        <f>#REF!</f>
        <v>#REF!</v>
      </c>
      <c r="AK33" s="722" t="e">
        <f>#REF!</f>
        <v>#REF!</v>
      </c>
      <c r="AL33" s="658"/>
      <c r="AM33" s="658"/>
      <c r="AN33" s="658"/>
      <c r="AO33" s="658"/>
      <c r="AP33" s="658"/>
      <c r="AQ33" s="3" t="s">
        <v>83</v>
      </c>
      <c r="BD33" s="3" t="s">
        <v>753</v>
      </c>
      <c r="BI33" s="676" t="e">
        <f>#REF!</f>
        <v>#REF!</v>
      </c>
      <c r="BJ33" s="664"/>
      <c r="BK33" s="664"/>
      <c r="BL33" s="664"/>
      <c r="BM33" s="664"/>
      <c r="BN33" s="664"/>
      <c r="BO33" s="664"/>
      <c r="BP33" s="664"/>
      <c r="BQ33" s="3" t="s">
        <v>649</v>
      </c>
      <c r="CC33" s="8"/>
      <c r="CH33" s="8"/>
      <c r="CI33" s="6"/>
    </row>
    <row r="34" spans="1:71" s="3" customFormat="1" ht="16.5" customHeight="1">
      <c r="A34" s="3">
        <v>1</v>
      </c>
      <c r="B34" s="720"/>
      <c r="C34" s="720"/>
      <c r="D34" s="720"/>
      <c r="E34" s="720"/>
      <c r="F34" s="720"/>
      <c r="G34" s="720"/>
      <c r="H34" s="720"/>
      <c r="I34" s="720"/>
      <c r="J34" s="720"/>
      <c r="K34" s="721"/>
      <c r="L34" s="721"/>
      <c r="M34" s="721"/>
      <c r="N34" s="721"/>
      <c r="O34" s="721"/>
      <c r="P34" s="721"/>
      <c r="Q34" s="721"/>
      <c r="R34" s="721"/>
      <c r="S34" s="721"/>
      <c r="T34" s="721"/>
      <c r="U34" s="721"/>
      <c r="V34" s="721"/>
      <c r="W34" s="267"/>
      <c r="X34" s="267"/>
      <c r="Y34" s="267"/>
      <c r="Z34" s="267"/>
      <c r="AA34" s="267"/>
      <c r="AB34" s="267"/>
      <c r="AC34" s="267"/>
      <c r="AD34" s="267"/>
      <c r="AE34" s="267"/>
      <c r="AF34" s="267"/>
      <c r="AG34" s="267"/>
      <c r="AH34" s="267"/>
      <c r="AI34" s="268" t="s">
        <v>758</v>
      </c>
      <c r="AJ34" s="267"/>
      <c r="AK34" s="729" t="e">
        <f>AL31+AK32+AK33</f>
        <v>#REF!</v>
      </c>
      <c r="AL34" s="730"/>
      <c r="AM34" s="730"/>
      <c r="AN34" s="730"/>
      <c r="AO34" s="730"/>
      <c r="AP34" s="730"/>
      <c r="AQ34" s="267" t="s">
        <v>83</v>
      </c>
      <c r="AR34" s="267"/>
      <c r="AS34" s="267"/>
      <c r="AT34" s="267"/>
      <c r="AU34" s="267"/>
      <c r="AV34" s="267"/>
      <c r="AW34" s="267"/>
      <c r="AX34" s="267"/>
      <c r="AY34" s="267"/>
      <c r="AZ34" s="267"/>
      <c r="BA34" s="267"/>
      <c r="BB34" s="267"/>
      <c r="BD34" s="267" t="s">
        <v>753</v>
      </c>
      <c r="BE34" s="267"/>
      <c r="BF34" s="267"/>
      <c r="BG34" s="267"/>
      <c r="BH34" s="267"/>
      <c r="BI34" s="711" t="e">
        <f>BI31+BI32+BI33</f>
        <v>#REF!</v>
      </c>
      <c r="BJ34" s="689"/>
      <c r="BK34" s="689"/>
      <c r="BL34" s="689"/>
      <c r="BM34" s="689"/>
      <c r="BN34" s="664"/>
      <c r="BO34" s="664"/>
      <c r="BP34" s="664"/>
      <c r="BQ34" s="267" t="s">
        <v>649</v>
      </c>
      <c r="BR34" s="267"/>
      <c r="BS34" s="267"/>
    </row>
    <row r="35" spans="1:71" s="3" customFormat="1" ht="16.5" customHeight="1">
      <c r="A35" s="3">
        <v>1</v>
      </c>
      <c r="B35" s="265"/>
      <c r="C35" s="265"/>
      <c r="D35" s="265"/>
      <c r="E35" s="265"/>
      <c r="F35" s="265"/>
      <c r="G35" s="265"/>
      <c r="H35" s="265"/>
      <c r="I35" s="265"/>
      <c r="J35" s="265"/>
      <c r="K35" s="266"/>
      <c r="L35" s="266"/>
      <c r="M35" s="266"/>
      <c r="N35" s="266"/>
      <c r="O35" s="266"/>
      <c r="P35" s="266"/>
      <c r="Q35" s="266"/>
      <c r="R35" s="266"/>
      <c r="S35" s="266"/>
      <c r="T35" s="266"/>
      <c r="U35" s="266"/>
      <c r="V35" s="266"/>
      <c r="W35" s="267"/>
      <c r="X35" s="267"/>
      <c r="Y35" s="267"/>
      <c r="Z35" s="267"/>
      <c r="AA35" s="267"/>
      <c r="AB35" s="267"/>
      <c r="AC35" s="267"/>
      <c r="AD35" s="267"/>
      <c r="AE35" s="267"/>
      <c r="AF35" s="267"/>
      <c r="AG35" s="267"/>
      <c r="AH35" s="267"/>
      <c r="AI35" s="268"/>
      <c r="AJ35" s="267"/>
      <c r="AK35" s="269"/>
      <c r="AL35" s="268"/>
      <c r="AM35" s="268"/>
      <c r="AN35" s="268"/>
      <c r="AO35" s="268"/>
      <c r="AP35" s="268"/>
      <c r="AQ35" s="267"/>
      <c r="AR35" s="267"/>
      <c r="AS35" s="267"/>
      <c r="AT35" s="267"/>
      <c r="AU35" s="267"/>
      <c r="AV35" s="267"/>
      <c r="AW35" s="267"/>
      <c r="AX35" s="267"/>
      <c r="AY35" s="267"/>
      <c r="AZ35" s="267"/>
      <c r="BA35" s="267"/>
      <c r="BB35" s="267"/>
      <c r="BC35" s="267"/>
      <c r="BD35" s="267"/>
      <c r="BE35" s="267"/>
      <c r="BF35" s="267"/>
      <c r="BG35" s="267"/>
      <c r="BH35" s="267"/>
      <c r="BI35" s="270"/>
      <c r="BJ35" s="271"/>
      <c r="BK35" s="271"/>
      <c r="BL35" s="271"/>
      <c r="BM35" s="271"/>
      <c r="BN35" s="267"/>
      <c r="BO35" s="267"/>
      <c r="BP35" s="267"/>
      <c r="BQ35" s="267"/>
      <c r="BR35" s="267"/>
      <c r="BS35" s="267"/>
    </row>
    <row r="36" spans="1:71" s="3" customFormat="1" ht="16.5" customHeight="1">
      <c r="A36" s="3">
        <v>1</v>
      </c>
      <c r="B36" s="265"/>
      <c r="C36" s="265"/>
      <c r="D36" s="265"/>
      <c r="E36" s="265"/>
      <c r="F36" s="265"/>
      <c r="G36" s="265"/>
      <c r="H36" s="265"/>
      <c r="I36" s="265"/>
      <c r="J36" s="265"/>
      <c r="K36" s="266"/>
      <c r="L36" s="266"/>
      <c r="M36" s="266"/>
      <c r="N36" s="266"/>
      <c r="O36" s="266"/>
      <c r="P36" s="266"/>
      <c r="Q36" s="266"/>
      <c r="R36" s="266"/>
      <c r="S36" s="266"/>
      <c r="T36" s="266"/>
      <c r="U36" s="266"/>
      <c r="V36" s="266"/>
      <c r="W36" s="267"/>
      <c r="X36" s="267"/>
      <c r="Y36" s="267"/>
      <c r="Z36" s="267"/>
      <c r="AA36" s="267"/>
      <c r="AB36" s="267"/>
      <c r="AC36" s="267"/>
      <c r="AD36" s="267"/>
      <c r="AE36" s="267"/>
      <c r="AF36" s="267"/>
      <c r="AG36" s="267"/>
      <c r="AH36" s="267"/>
      <c r="AI36" s="268"/>
      <c r="AJ36" s="267"/>
      <c r="AK36" s="269"/>
      <c r="AL36" s="268"/>
      <c r="AM36" s="268"/>
      <c r="AN36" s="268"/>
      <c r="AO36" s="268"/>
      <c r="AP36" s="268"/>
      <c r="AQ36" s="267"/>
      <c r="AR36" s="267"/>
      <c r="AS36" s="267"/>
      <c r="AT36" s="267"/>
      <c r="AU36" s="267"/>
      <c r="AV36" s="267"/>
      <c r="AW36" s="267"/>
      <c r="AX36" s="267"/>
      <c r="AY36" s="267"/>
      <c r="AZ36" s="267"/>
      <c r="BA36" s="267"/>
      <c r="BB36" s="267"/>
      <c r="BC36" s="267"/>
      <c r="BD36" s="267"/>
      <c r="BE36" s="267"/>
      <c r="BF36" s="267"/>
      <c r="BG36" s="267"/>
      <c r="BH36" s="267"/>
      <c r="BI36" s="270"/>
      <c r="BJ36" s="271"/>
      <c r="BK36" s="271"/>
      <c r="BL36" s="271"/>
      <c r="BM36" s="271"/>
      <c r="BN36" s="267"/>
      <c r="BO36" s="267"/>
      <c r="BP36" s="267"/>
      <c r="BQ36" s="267"/>
      <c r="BR36" s="267"/>
      <c r="BS36" s="267"/>
    </row>
    <row r="37" spans="1:71" s="3" customFormat="1" ht="16.5" customHeight="1">
      <c r="A37" s="3">
        <v>1</v>
      </c>
      <c r="B37" s="265"/>
      <c r="C37" s="265"/>
      <c r="D37" s="265"/>
      <c r="E37" s="265"/>
      <c r="F37" s="265"/>
      <c r="G37" s="265"/>
      <c r="H37" s="265"/>
      <c r="I37" s="265"/>
      <c r="J37" s="265"/>
      <c r="K37" s="266"/>
      <c r="L37" s="266"/>
      <c r="M37" s="266"/>
      <c r="N37" s="266"/>
      <c r="O37" s="266"/>
      <c r="P37" s="266"/>
      <c r="Q37" s="266"/>
      <c r="R37" s="266"/>
      <c r="S37" s="266"/>
      <c r="T37" s="266"/>
      <c r="U37" s="266"/>
      <c r="V37" s="266"/>
      <c r="W37" s="267"/>
      <c r="X37" s="267"/>
      <c r="Y37" s="267"/>
      <c r="Z37" s="267"/>
      <c r="AA37" s="267"/>
      <c r="AB37" s="267"/>
      <c r="AC37" s="267"/>
      <c r="AD37" s="267"/>
      <c r="AE37" s="267"/>
      <c r="AF37" s="267"/>
      <c r="AG37" s="267"/>
      <c r="AH37" s="267"/>
      <c r="AI37" s="268"/>
      <c r="AJ37" s="267"/>
      <c r="AK37" s="269"/>
      <c r="AL37" s="268"/>
      <c r="AM37" s="268"/>
      <c r="AN37" s="268"/>
      <c r="AO37" s="268"/>
      <c r="AP37" s="268"/>
      <c r="AQ37" s="267"/>
      <c r="AR37" s="267"/>
      <c r="AS37" s="267"/>
      <c r="AT37" s="267"/>
      <c r="AU37" s="267"/>
      <c r="AV37" s="267"/>
      <c r="AW37" s="267"/>
      <c r="AX37" s="267"/>
      <c r="AY37" s="267"/>
      <c r="AZ37" s="267"/>
      <c r="BA37" s="267"/>
      <c r="BB37" s="267"/>
      <c r="BC37" s="267"/>
      <c r="BD37" s="267"/>
      <c r="BE37" s="267"/>
      <c r="BF37" s="267"/>
      <c r="BG37" s="267"/>
      <c r="BH37" s="267"/>
      <c r="BI37" s="270"/>
      <c r="BJ37" s="271"/>
      <c r="BK37" s="271"/>
      <c r="BL37" s="271"/>
      <c r="BM37" s="271"/>
      <c r="BN37" s="267"/>
      <c r="BO37" s="267"/>
      <c r="BP37" s="267"/>
      <c r="BQ37" s="267"/>
      <c r="BR37" s="267"/>
      <c r="BS37" s="267"/>
    </row>
    <row r="38" spans="1:71" s="3" customFormat="1" ht="16.5" customHeight="1">
      <c r="A38" s="3">
        <v>1</v>
      </c>
      <c r="B38" s="265"/>
      <c r="C38" s="265"/>
      <c r="D38" s="265"/>
      <c r="E38" s="265"/>
      <c r="F38" s="265"/>
      <c r="G38" s="265"/>
      <c r="H38" s="265"/>
      <c r="I38" s="265"/>
      <c r="J38" s="265"/>
      <c r="K38" s="266"/>
      <c r="L38" s="266"/>
      <c r="M38" s="266"/>
      <c r="N38" s="266"/>
      <c r="O38" s="266"/>
      <c r="P38" s="266"/>
      <c r="Q38" s="266"/>
      <c r="R38" s="266"/>
      <c r="S38" s="266"/>
      <c r="T38" s="266"/>
      <c r="U38" s="266"/>
      <c r="V38" s="266"/>
      <c r="W38" s="267"/>
      <c r="X38" s="267"/>
      <c r="Y38" s="267"/>
      <c r="Z38" s="267"/>
      <c r="AA38" s="267"/>
      <c r="AB38" s="267"/>
      <c r="AC38" s="267"/>
      <c r="AD38" s="267"/>
      <c r="AE38" s="267"/>
      <c r="AF38" s="267"/>
      <c r="AG38" s="267"/>
      <c r="AH38" s="267"/>
      <c r="AI38" s="268"/>
      <c r="AJ38" s="267"/>
      <c r="AK38" s="269"/>
      <c r="AL38" s="268"/>
      <c r="AM38" s="268"/>
      <c r="AN38" s="268"/>
      <c r="AO38" s="268"/>
      <c r="AP38" s="268"/>
      <c r="AQ38" s="267"/>
      <c r="AR38" s="267"/>
      <c r="AS38" s="267"/>
      <c r="AT38" s="267"/>
      <c r="AU38" s="267"/>
      <c r="AV38" s="267"/>
      <c r="AW38" s="267"/>
      <c r="AX38" s="267"/>
      <c r="AY38" s="267"/>
      <c r="AZ38" s="267"/>
      <c r="BA38" s="267"/>
      <c r="BB38" s="267"/>
      <c r="BC38" s="267"/>
      <c r="BD38" s="267"/>
      <c r="BE38" s="267"/>
      <c r="BF38" s="267"/>
      <c r="BG38" s="267"/>
      <c r="BH38" s="267"/>
      <c r="BI38" s="270"/>
      <c r="BJ38" s="271"/>
      <c r="BK38" s="271"/>
      <c r="BL38" s="271"/>
      <c r="BM38" s="271"/>
      <c r="BN38" s="267"/>
      <c r="BO38" s="267"/>
      <c r="BP38" s="267"/>
      <c r="BQ38" s="267"/>
      <c r="BR38" s="267"/>
      <c r="BS38" s="267"/>
    </row>
    <row r="39" spans="1:71" s="3" customFormat="1" ht="16.5" customHeight="1">
      <c r="A39" s="3">
        <v>1</v>
      </c>
      <c r="B39" s="265"/>
      <c r="C39" s="265"/>
      <c r="D39" s="265"/>
      <c r="E39" s="265"/>
      <c r="F39" s="265"/>
      <c r="G39" s="265"/>
      <c r="H39" s="265"/>
      <c r="I39" s="265"/>
      <c r="J39" s="265"/>
      <c r="K39" s="266"/>
      <c r="L39" s="266"/>
      <c r="M39" s="266"/>
      <c r="N39" s="266"/>
      <c r="O39" s="266"/>
      <c r="P39" s="266"/>
      <c r="Q39" s="266"/>
      <c r="R39" s="266"/>
      <c r="S39" s="266"/>
      <c r="T39" s="266"/>
      <c r="U39" s="266"/>
      <c r="V39" s="266"/>
      <c r="W39" s="267"/>
      <c r="X39" s="267"/>
      <c r="Y39" s="267"/>
      <c r="Z39" s="267"/>
      <c r="AA39" s="267"/>
      <c r="AB39" s="267"/>
      <c r="AC39" s="267"/>
      <c r="AD39" s="267"/>
      <c r="AE39" s="267"/>
      <c r="AF39" s="267"/>
      <c r="AG39" s="267"/>
      <c r="AH39" s="267"/>
      <c r="AI39" s="268"/>
      <c r="AJ39" s="267"/>
      <c r="AK39" s="269"/>
      <c r="AL39" s="268"/>
      <c r="AM39" s="268"/>
      <c r="AN39" s="268"/>
      <c r="AO39" s="268"/>
      <c r="AP39" s="268"/>
      <c r="AQ39" s="267"/>
      <c r="AR39" s="267"/>
      <c r="AS39" s="267"/>
      <c r="AT39" s="267"/>
      <c r="AU39" s="267"/>
      <c r="AV39" s="267"/>
      <c r="AW39" s="267"/>
      <c r="AX39" s="267"/>
      <c r="AY39" s="267"/>
      <c r="AZ39" s="267"/>
      <c r="BA39" s="267"/>
      <c r="BB39" s="267"/>
      <c r="BC39" s="267"/>
      <c r="BD39" s="267"/>
      <c r="BE39" s="267"/>
      <c r="BF39" s="267"/>
      <c r="BG39" s="267"/>
      <c r="BH39" s="267"/>
      <c r="BI39" s="270"/>
      <c r="BJ39" s="271"/>
      <c r="BK39" s="271"/>
      <c r="BL39" s="271"/>
      <c r="BM39" s="271"/>
      <c r="BN39" s="267"/>
      <c r="BO39" s="267"/>
      <c r="BP39" s="267"/>
      <c r="BQ39" s="267"/>
      <c r="BR39" s="267"/>
      <c r="BS39" s="267"/>
    </row>
    <row r="40" spans="1:79" s="3" customFormat="1" ht="19.5" customHeight="1">
      <c r="A40" s="3">
        <v>1</v>
      </c>
      <c r="B40" s="668" t="s">
        <v>886</v>
      </c>
      <c r="C40" s="664"/>
      <c r="D40" s="664"/>
      <c r="E40" s="664"/>
      <c r="F40" s="664"/>
      <c r="G40" s="664"/>
      <c r="H40" s="664"/>
      <c r="I40" s="664"/>
      <c r="J40" s="664"/>
      <c r="K40" s="664"/>
      <c r="L40" s="664"/>
      <c r="M40" s="664"/>
      <c r="N40" s="664"/>
      <c r="O40" s="664"/>
      <c r="P40" s="664"/>
      <c r="Q40" s="664"/>
      <c r="R40" s="664"/>
      <c r="S40" s="664"/>
      <c r="T40" s="664"/>
      <c r="U40" s="664"/>
      <c r="V40" s="664"/>
      <c r="W40" s="664"/>
      <c r="X40" s="664"/>
      <c r="Y40" s="664"/>
      <c r="Z40" s="664"/>
      <c r="AA40" s="664"/>
      <c r="AB40" s="664"/>
      <c r="AC40" s="664"/>
      <c r="AD40" s="664"/>
      <c r="AE40" s="664"/>
      <c r="AF40" s="664"/>
      <c r="AG40" s="664"/>
      <c r="AH40" s="664"/>
      <c r="AI40" s="664"/>
      <c r="AJ40" s="664"/>
      <c r="AK40" s="664"/>
      <c r="AL40" s="664"/>
      <c r="AM40" s="664"/>
      <c r="AN40" s="664"/>
      <c r="AO40" s="664"/>
      <c r="AP40" s="664"/>
      <c r="AQ40" s="664"/>
      <c r="AR40" s="664"/>
      <c r="AS40" s="664"/>
      <c r="AT40" s="664"/>
      <c r="AU40" s="664"/>
      <c r="AV40" s="664"/>
      <c r="AW40" s="664"/>
      <c r="AX40" s="664"/>
      <c r="AY40" s="664"/>
      <c r="AZ40" s="664"/>
      <c r="BA40" s="664"/>
      <c r="BB40" s="664"/>
      <c r="BC40" s="664"/>
      <c r="BD40" s="664"/>
      <c r="BE40" s="664"/>
      <c r="BF40" s="664"/>
      <c r="BG40" s="664"/>
      <c r="BH40" s="664"/>
      <c r="BI40" s="664"/>
      <c r="BJ40" s="664"/>
      <c r="BK40" s="664"/>
      <c r="BL40" s="664"/>
      <c r="BM40" s="664"/>
      <c r="BN40" s="664"/>
      <c r="BO40" s="664"/>
      <c r="BP40" s="664"/>
      <c r="BQ40" s="664"/>
      <c r="BR40" s="664"/>
      <c r="BS40" s="664"/>
      <c r="BT40" s="664"/>
      <c r="BU40" s="664"/>
      <c r="BV40" s="664"/>
      <c r="BW40" s="664"/>
      <c r="BX40" s="664"/>
      <c r="BY40" s="664"/>
      <c r="BZ40" s="664"/>
      <c r="CA40" s="664"/>
    </row>
    <row r="41" spans="1:79" s="3" customFormat="1" ht="16.5" customHeight="1">
      <c r="A41" s="3">
        <v>1</v>
      </c>
      <c r="B41" s="660" t="s">
        <v>442</v>
      </c>
      <c r="C41" s="664"/>
      <c r="D41" s="664"/>
      <c r="E41" s="664"/>
      <c r="F41" s="664"/>
      <c r="G41" s="664"/>
      <c r="H41" s="664"/>
      <c r="I41" s="664"/>
      <c r="J41" s="664"/>
      <c r="K41" s="664"/>
      <c r="L41" s="664"/>
      <c r="M41" s="664"/>
      <c r="N41" s="664"/>
      <c r="O41" s="664"/>
      <c r="P41" s="664"/>
      <c r="Q41" s="664"/>
      <c r="R41" s="664"/>
      <c r="S41" s="664"/>
      <c r="T41" s="664"/>
      <c r="U41" s="664"/>
      <c r="V41" s="664"/>
      <c r="W41" s="664"/>
      <c r="X41" s="664"/>
      <c r="Y41" s="664"/>
      <c r="Z41" s="664"/>
      <c r="AA41" s="664"/>
      <c r="AB41" s="664"/>
      <c r="AC41" s="664"/>
      <c r="AD41" s="664"/>
      <c r="AE41" s="664"/>
      <c r="AF41" s="664"/>
      <c r="AG41" s="710">
        <f>Simulatore!E25</f>
        <v>1</v>
      </c>
      <c r="AH41" s="662"/>
      <c r="AI41" s="662"/>
      <c r="AJ41" s="662"/>
      <c r="AK41" s="662"/>
      <c r="AL41" s="662"/>
      <c r="AM41" s="662"/>
      <c r="AO41" s="660" t="s">
        <v>240</v>
      </c>
      <c r="AP41" s="664"/>
      <c r="AQ41" s="664"/>
      <c r="AR41" s="664"/>
      <c r="AS41" s="664"/>
      <c r="AT41" s="664"/>
      <c r="AU41" s="664"/>
      <c r="AV41" s="664"/>
      <c r="AW41" s="664"/>
      <c r="AX41" s="664"/>
      <c r="AY41" s="664"/>
      <c r="AZ41" s="664"/>
      <c r="BA41" s="664"/>
      <c r="BB41" s="664"/>
      <c r="BC41" s="664"/>
      <c r="BD41" s="664"/>
      <c r="BE41" s="664"/>
      <c r="BF41" s="664"/>
      <c r="BG41" s="664"/>
      <c r="BH41" s="664"/>
      <c r="BI41" s="664"/>
      <c r="BJ41" s="664"/>
      <c r="BK41" s="664"/>
      <c r="BL41" s="664"/>
      <c r="BM41" s="664"/>
      <c r="BN41" s="664"/>
      <c r="BO41" s="664"/>
      <c r="BP41" s="664"/>
      <c r="BQ41" s="664"/>
      <c r="BR41" s="664"/>
      <c r="BS41" s="664"/>
      <c r="BT41" s="664"/>
      <c r="BU41" s="715">
        <f>Simulatore!R22</f>
        <v>9.30607746228573</v>
      </c>
      <c r="BV41" s="715"/>
      <c r="BW41" s="715"/>
      <c r="BX41" s="715"/>
      <c r="BY41" s="715"/>
      <c r="BZ41" s="715"/>
      <c r="CA41" s="715"/>
    </row>
    <row r="42" spans="1:87" s="3" customFormat="1" ht="16.5" customHeight="1">
      <c r="A42" s="3">
        <v>1</v>
      </c>
      <c r="B42" s="660" t="s">
        <v>244</v>
      </c>
      <c r="C42" s="664"/>
      <c r="D42" s="664"/>
      <c r="E42" s="664"/>
      <c r="F42" s="664"/>
      <c r="G42" s="664"/>
      <c r="H42" s="664"/>
      <c r="I42" s="664"/>
      <c r="J42" s="664"/>
      <c r="K42" s="664"/>
      <c r="L42" s="664"/>
      <c r="M42" s="664"/>
      <c r="N42" s="664"/>
      <c r="O42" s="664"/>
      <c r="P42" s="664"/>
      <c r="Q42" s="664"/>
      <c r="R42" s="664"/>
      <c r="S42" s="664"/>
      <c r="T42" s="664"/>
      <c r="U42" s="664"/>
      <c r="V42" s="664"/>
      <c r="W42" s="664"/>
      <c r="X42" s="664"/>
      <c r="Y42" s="664"/>
      <c r="Z42" s="664"/>
      <c r="AA42" s="664"/>
      <c r="AB42" s="664"/>
      <c r="AC42" s="664"/>
      <c r="AD42" s="664"/>
      <c r="AE42" s="664"/>
      <c r="AF42" s="664"/>
      <c r="AG42" s="710">
        <f>Simulatore!E26</f>
        <v>0.07</v>
      </c>
      <c r="AH42" s="710"/>
      <c r="AI42" s="710"/>
      <c r="AJ42" s="710"/>
      <c r="AK42" s="710"/>
      <c r="AL42" s="710"/>
      <c r="AM42" s="710"/>
      <c r="AO42" s="660" t="s">
        <v>626</v>
      </c>
      <c r="AP42" s="664"/>
      <c r="AQ42" s="664"/>
      <c r="AR42" s="664"/>
      <c r="AS42" s="664"/>
      <c r="AT42" s="664"/>
      <c r="AU42" s="664"/>
      <c r="AV42" s="664"/>
      <c r="AW42" s="664"/>
      <c r="AX42" s="664"/>
      <c r="AY42" s="664"/>
      <c r="AZ42" s="664"/>
      <c r="BA42" s="664"/>
      <c r="BB42" s="664"/>
      <c r="BC42" s="664"/>
      <c r="BD42" s="664"/>
      <c r="BE42" s="664"/>
      <c r="BF42" s="664"/>
      <c r="BG42" s="664"/>
      <c r="BH42" s="664"/>
      <c r="BI42" s="664"/>
      <c r="BJ42" s="664"/>
      <c r="BK42" s="664"/>
      <c r="BL42" s="664"/>
      <c r="BM42" s="664"/>
      <c r="BN42" s="664"/>
      <c r="BO42" s="664"/>
      <c r="BP42" s="664"/>
      <c r="BQ42" s="664"/>
      <c r="BR42" s="664"/>
      <c r="BS42" s="664"/>
      <c r="BT42" s="664"/>
      <c r="BU42" s="710">
        <f>Simulatore!R21</f>
        <v>1.0745661052477933</v>
      </c>
      <c r="BV42" s="662"/>
      <c r="BW42" s="662"/>
      <c r="BX42" s="662"/>
      <c r="BY42" s="662"/>
      <c r="BZ42" s="662"/>
      <c r="CA42" s="662"/>
      <c r="CG42" s="176">
        <v>1</v>
      </c>
      <c r="CI42" s="171">
        <f>VLOOKUP(CG42,$CG$43:$CI$45,3,)</f>
        <v>0</v>
      </c>
    </row>
    <row r="43" spans="1:88" s="3" customFormat="1" ht="16.5" customHeight="1">
      <c r="A43" s="3">
        <v>1</v>
      </c>
      <c r="B43" s="660" t="s">
        <v>865</v>
      </c>
      <c r="C43" s="664"/>
      <c r="D43" s="664"/>
      <c r="E43" s="664"/>
      <c r="F43" s="664"/>
      <c r="G43" s="664"/>
      <c r="H43" s="664"/>
      <c r="I43" s="664"/>
      <c r="J43" s="664"/>
      <c r="K43" s="664"/>
      <c r="L43" s="664"/>
      <c r="M43" s="664"/>
      <c r="N43" s="664"/>
      <c r="O43" s="664"/>
      <c r="P43" s="664"/>
      <c r="Q43" s="664"/>
      <c r="R43" s="664"/>
      <c r="S43" s="664"/>
      <c r="T43" s="664"/>
      <c r="U43" s="664"/>
      <c r="V43" s="664"/>
      <c r="W43" s="664"/>
      <c r="X43" s="664"/>
      <c r="Y43" s="664"/>
      <c r="Z43" s="664"/>
      <c r="AA43" s="664"/>
      <c r="AB43" s="664"/>
      <c r="AC43" s="664"/>
      <c r="AD43" s="664"/>
      <c r="AE43" s="664"/>
      <c r="AF43" s="664"/>
      <c r="AG43" s="709">
        <f>Simulatore!E27</f>
        <v>12</v>
      </c>
      <c r="AH43" s="662"/>
      <c r="AI43" s="662"/>
      <c r="AJ43" s="662"/>
      <c r="AK43" s="662"/>
      <c r="AL43" s="662"/>
      <c r="AM43" s="662"/>
      <c r="AO43" s="660" t="s">
        <v>246</v>
      </c>
      <c r="AP43" s="664"/>
      <c r="AQ43" s="664"/>
      <c r="AR43" s="664"/>
      <c r="AS43" s="664"/>
      <c r="AT43" s="664"/>
      <c r="AU43" s="664"/>
      <c r="AV43" s="664"/>
      <c r="AW43" s="664"/>
      <c r="AX43" s="664"/>
      <c r="AY43" s="664"/>
      <c r="AZ43" s="664"/>
      <c r="BA43" s="664"/>
      <c r="BB43" s="664"/>
      <c r="BC43" s="664"/>
      <c r="BD43" s="664"/>
      <c r="BE43" s="664"/>
      <c r="BF43" s="664"/>
      <c r="BG43" s="664"/>
      <c r="BH43" s="664"/>
      <c r="BI43" s="664"/>
      <c r="BJ43" s="664"/>
      <c r="BK43" s="664"/>
      <c r="BL43" s="664"/>
      <c r="BM43" s="664"/>
      <c r="BN43" s="664"/>
      <c r="BO43" s="664"/>
      <c r="BP43" s="664"/>
      <c r="BQ43" s="664"/>
      <c r="BR43" s="664"/>
      <c r="BS43" s="664"/>
      <c r="BT43" s="664"/>
      <c r="BU43" s="662" t="str">
        <f>Simulatore!G81</f>
        <v>Media</v>
      </c>
      <c r="BV43" s="662"/>
      <c r="BW43" s="662"/>
      <c r="BX43" s="662"/>
      <c r="BY43" s="662"/>
      <c r="BZ43" s="662"/>
      <c r="CA43" s="662"/>
      <c r="CH43" s="177" t="s">
        <v>863</v>
      </c>
      <c r="CI43" s="176"/>
      <c r="CJ43" s="281">
        <f>Riqualificazione!E28</f>
        <v>0</v>
      </c>
    </row>
    <row r="44" spans="1:89" s="3" customFormat="1" ht="16.5" customHeight="1">
      <c r="A44" s="3">
        <v>1</v>
      </c>
      <c r="CG44" s="176">
        <v>1</v>
      </c>
      <c r="CH44" s="218" t="s">
        <v>860</v>
      </c>
      <c r="CI44" s="176">
        <v>0</v>
      </c>
      <c r="CJ44" s="3">
        <f>IF(CI42=1,CK44,0)</f>
        <v>0</v>
      </c>
      <c r="CK44" s="3">
        <f>Riqualificazione!B74</f>
        <v>0</v>
      </c>
    </row>
    <row r="45" spans="1:88" s="3" customFormat="1" ht="18.75" customHeight="1">
      <c r="A45" s="3">
        <v>1</v>
      </c>
      <c r="B45" s="659" t="s">
        <v>887</v>
      </c>
      <c r="C45" s="660"/>
      <c r="D45" s="660"/>
      <c r="E45" s="660"/>
      <c r="F45" s="660"/>
      <c r="G45" s="660"/>
      <c r="H45" s="660"/>
      <c r="I45" s="660"/>
      <c r="J45" s="660"/>
      <c r="K45" s="660"/>
      <c r="L45" s="660"/>
      <c r="M45" s="660"/>
      <c r="N45" s="660"/>
      <c r="O45" s="660"/>
      <c r="P45" s="660"/>
      <c r="Q45" s="660"/>
      <c r="R45" s="660"/>
      <c r="S45" s="660"/>
      <c r="T45" s="660"/>
      <c r="U45" s="660"/>
      <c r="V45" s="660"/>
      <c r="W45" s="660"/>
      <c r="X45" s="660"/>
      <c r="Y45" s="660"/>
      <c r="Z45" s="660"/>
      <c r="AA45" s="660"/>
      <c r="AB45" s="660"/>
      <c r="AC45" s="660"/>
      <c r="AD45" s="660"/>
      <c r="AE45" s="660"/>
      <c r="AF45" s="660"/>
      <c r="AG45" s="660"/>
      <c r="AH45" s="660"/>
      <c r="AI45" s="660"/>
      <c r="AJ45" s="660"/>
      <c r="AK45" s="660"/>
      <c r="AL45" s="660"/>
      <c r="AM45" s="660"/>
      <c r="AN45" s="660"/>
      <c r="AO45" s="660"/>
      <c r="AP45" s="660"/>
      <c r="AQ45" s="660"/>
      <c r="AR45" s="660"/>
      <c r="AS45" s="660"/>
      <c r="AT45" s="660"/>
      <c r="AU45" s="660"/>
      <c r="AV45" s="660"/>
      <c r="AW45" s="660"/>
      <c r="AX45" s="660"/>
      <c r="AY45" s="660"/>
      <c r="AZ45" s="660"/>
      <c r="BA45" s="660"/>
      <c r="BB45" s="660"/>
      <c r="BC45" s="660"/>
      <c r="BD45" s="660"/>
      <c r="BE45" s="660"/>
      <c r="BF45" s="660"/>
      <c r="BG45" s="660"/>
      <c r="BH45" s="660"/>
      <c r="BI45" s="660"/>
      <c r="BJ45" s="660"/>
      <c r="BK45" s="660"/>
      <c r="BL45" s="660"/>
      <c r="BM45" s="660"/>
      <c r="BN45" s="660"/>
      <c r="BO45" s="660"/>
      <c r="BP45" s="660"/>
      <c r="BQ45" s="661" t="s">
        <v>138</v>
      </c>
      <c r="BR45" s="662"/>
      <c r="BS45" s="662"/>
      <c r="BT45" s="662"/>
      <c r="BU45" s="662"/>
      <c r="BV45" s="662"/>
      <c r="BW45" s="662"/>
      <c r="BX45" s="662"/>
      <c r="BY45" s="662"/>
      <c r="BZ45" s="662"/>
      <c r="CA45" s="662"/>
      <c r="CE45" s="280" t="s">
        <v>859</v>
      </c>
      <c r="CG45" s="176">
        <v>2</v>
      </c>
      <c r="CH45" s="218" t="s">
        <v>861</v>
      </c>
      <c r="CI45" s="176">
        <v>1</v>
      </c>
      <c r="CJ45" s="3" t="s">
        <v>841</v>
      </c>
    </row>
    <row r="46" spans="1:79" s="3" customFormat="1" ht="15.75" customHeight="1">
      <c r="A46" s="3">
        <f>IF(BQ46=0,0,1)</f>
        <v>1</v>
      </c>
      <c r="B46" s="697" t="s">
        <v>888</v>
      </c>
      <c r="C46" s="657"/>
      <c r="D46" s="657"/>
      <c r="E46" s="657"/>
      <c r="F46" s="657"/>
      <c r="G46" s="657"/>
      <c r="H46" s="657"/>
      <c r="I46" s="657"/>
      <c r="J46" s="657"/>
      <c r="K46" s="657"/>
      <c r="L46" s="657"/>
      <c r="M46" s="657"/>
      <c r="N46" s="657"/>
      <c r="O46" s="657"/>
      <c r="P46" s="657"/>
      <c r="Q46" s="657"/>
      <c r="R46" s="657"/>
      <c r="S46" s="657"/>
      <c r="T46" s="657"/>
      <c r="U46" s="657"/>
      <c r="V46" s="657"/>
      <c r="W46" s="657"/>
      <c r="X46" s="657"/>
      <c r="Y46" s="657"/>
      <c r="Z46" s="657"/>
      <c r="AA46" s="657"/>
      <c r="AB46" s="657"/>
      <c r="AC46" s="657"/>
      <c r="AD46" s="657"/>
      <c r="AE46" s="657"/>
      <c r="AF46" s="657"/>
      <c r="AG46" s="657"/>
      <c r="AH46" s="657"/>
      <c r="AI46" s="657"/>
      <c r="AJ46" s="657"/>
      <c r="AK46" s="657"/>
      <c r="AL46" s="657"/>
      <c r="AM46" s="657"/>
      <c r="AN46" s="657"/>
      <c r="AO46" s="657"/>
      <c r="AP46" s="657"/>
      <c r="AQ46" s="657"/>
      <c r="AR46" s="657"/>
      <c r="AS46" s="657"/>
      <c r="AT46" s="657"/>
      <c r="AU46" s="657"/>
      <c r="AV46" s="657"/>
      <c r="AW46" s="657"/>
      <c r="AX46" s="657"/>
      <c r="AY46" s="657"/>
      <c r="AZ46" s="657"/>
      <c r="BA46" s="657"/>
      <c r="BB46" s="657"/>
      <c r="BC46" s="657"/>
      <c r="BD46" s="657"/>
      <c r="BE46" s="657"/>
      <c r="BF46" s="657"/>
      <c r="BG46" s="657"/>
      <c r="BH46" s="657"/>
      <c r="BI46" s="657"/>
      <c r="BJ46" s="657"/>
      <c r="BK46" s="657"/>
      <c r="BL46" s="657"/>
      <c r="BM46" s="657"/>
      <c r="BN46" s="657"/>
      <c r="BO46" s="657"/>
      <c r="BP46" s="657"/>
      <c r="BQ46" s="672">
        <f>A!G10</f>
        <v>11090.643152676796</v>
      </c>
      <c r="BR46" s="672"/>
      <c r="BS46" s="672"/>
      <c r="BT46" s="672"/>
      <c r="BU46" s="672"/>
      <c r="BV46" s="672"/>
      <c r="BW46" s="672"/>
      <c r="BX46" s="672"/>
      <c r="BY46" s="672"/>
      <c r="BZ46" s="672"/>
      <c r="CA46" s="672"/>
    </row>
    <row r="47" spans="1:79" s="3" customFormat="1" ht="15.75" customHeight="1">
      <c r="A47" s="3">
        <f>IF(BQ46=0,0,1)</f>
        <v>1</v>
      </c>
      <c r="B47" s="671" t="str">
        <f>""&amp;Simulatore!D91&amp;", potenza "&amp;A!G6&amp;" kWp, con "&amp;Simulatore!J91&amp;""</f>
        <v>parzialmente integrato, potenza 5 kWp, con detrazione fiscale del 50%</v>
      </c>
      <c r="C47" s="664"/>
      <c r="D47" s="664"/>
      <c r="E47" s="664"/>
      <c r="F47" s="664"/>
      <c r="G47" s="664"/>
      <c r="H47" s="664"/>
      <c r="I47" s="664"/>
      <c r="J47" s="664"/>
      <c r="K47" s="664"/>
      <c r="L47" s="664"/>
      <c r="M47" s="664"/>
      <c r="N47" s="664"/>
      <c r="O47" s="664"/>
      <c r="P47" s="664"/>
      <c r="Q47" s="664"/>
      <c r="R47" s="664"/>
      <c r="S47" s="664"/>
      <c r="T47" s="664"/>
      <c r="U47" s="664"/>
      <c r="V47" s="664"/>
      <c r="W47" s="664"/>
      <c r="X47" s="664"/>
      <c r="Y47" s="664"/>
      <c r="Z47" s="664"/>
      <c r="AA47" s="664"/>
      <c r="AB47" s="664"/>
      <c r="AC47" s="664"/>
      <c r="AD47" s="664"/>
      <c r="AE47" s="664"/>
      <c r="AF47" s="664"/>
      <c r="AG47" s="664"/>
      <c r="AH47" s="664"/>
      <c r="AI47" s="664"/>
      <c r="AJ47" s="664"/>
      <c r="AK47" s="664"/>
      <c r="AL47" s="664"/>
      <c r="AM47" s="664"/>
      <c r="AN47" s="664"/>
      <c r="AO47" s="664"/>
      <c r="AP47" s="664"/>
      <c r="AQ47" s="664"/>
      <c r="AR47" s="664"/>
      <c r="AS47" s="664"/>
      <c r="AT47" s="664"/>
      <c r="AU47" s="664"/>
      <c r="AV47" s="664"/>
      <c r="AW47" s="664"/>
      <c r="AX47" s="664"/>
      <c r="AY47" s="664"/>
      <c r="AZ47" s="664"/>
      <c r="BA47" s="664"/>
      <c r="BB47" s="664"/>
      <c r="BC47" s="664"/>
      <c r="BD47" s="664"/>
      <c r="BE47" s="664"/>
      <c r="BF47" s="664"/>
      <c r="BG47" s="664"/>
      <c r="BH47" s="664"/>
      <c r="BI47" s="664"/>
      <c r="BJ47" s="664"/>
      <c r="BK47" s="664"/>
      <c r="BL47" s="664"/>
      <c r="BM47" s="664"/>
      <c r="BN47" s="664"/>
      <c r="BO47" s="664"/>
      <c r="BP47" s="664"/>
      <c r="BQ47" s="673"/>
      <c r="BR47" s="673"/>
      <c r="BS47" s="673"/>
      <c r="BT47" s="673"/>
      <c r="BU47" s="673"/>
      <c r="BV47" s="673"/>
      <c r="BW47" s="673"/>
      <c r="BX47" s="673"/>
      <c r="BY47" s="673"/>
      <c r="BZ47" s="673"/>
      <c r="CA47" s="673"/>
    </row>
    <row r="48" spans="1:79" s="3" customFormat="1" ht="15.75" customHeight="1">
      <c r="A48" s="3">
        <f>IF(BQ48=0,0,1)</f>
        <v>1</v>
      </c>
      <c r="B48" s="674" t="str">
        <f>Simulatore!D101</f>
        <v>POMPA DI CALORE</v>
      </c>
      <c r="C48" s="675"/>
      <c r="D48" s="675"/>
      <c r="E48" s="675"/>
      <c r="F48" s="675"/>
      <c r="G48" s="675"/>
      <c r="H48" s="675"/>
      <c r="I48" s="675"/>
      <c r="J48" s="67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c r="AP48" s="675"/>
      <c r="AQ48" s="675"/>
      <c r="AR48" s="675"/>
      <c r="AS48" s="675"/>
      <c r="AT48" s="675"/>
      <c r="AU48" s="675"/>
      <c r="AV48" s="675"/>
      <c r="AW48" s="675"/>
      <c r="AX48" s="675"/>
      <c r="AY48" s="675"/>
      <c r="AZ48" s="675"/>
      <c r="BA48" s="675"/>
      <c r="BB48" s="675"/>
      <c r="BC48" s="675"/>
      <c r="BD48" s="675"/>
      <c r="BE48" s="675"/>
      <c r="BF48" s="675"/>
      <c r="BG48" s="675"/>
      <c r="BH48" s="675"/>
      <c r="BI48" s="675"/>
      <c r="BJ48" s="675"/>
      <c r="BK48" s="675"/>
      <c r="BL48" s="675"/>
      <c r="BM48" s="675"/>
      <c r="BN48" s="675"/>
      <c r="BO48" s="675"/>
      <c r="BP48" s="675"/>
      <c r="BQ48" s="672">
        <f>Simulatore!U100</f>
        <v>2500</v>
      </c>
      <c r="BR48" s="672"/>
      <c r="BS48" s="672"/>
      <c r="BT48" s="672"/>
      <c r="BU48" s="672"/>
      <c r="BV48" s="672"/>
      <c r="BW48" s="672"/>
      <c r="BX48" s="672"/>
      <c r="BY48" s="672"/>
      <c r="BZ48" s="672"/>
      <c r="CA48" s="672"/>
    </row>
    <row r="49" spans="1:79" s="3" customFormat="1" ht="15.75" customHeight="1">
      <c r="A49" s="3">
        <f>IF(BQ48=0,0,1)</f>
        <v>1</v>
      </c>
      <c r="B49" s="677" t="str">
        <f>Simulatore!H101</f>
        <v>per il riscaldamento dell'acqua calda sanitaria</v>
      </c>
      <c r="C49" s="656"/>
      <c r="D49" s="656"/>
      <c r="E49" s="656"/>
      <c r="F49" s="656"/>
      <c r="G49" s="656"/>
      <c r="H49" s="656"/>
      <c r="I49" s="656"/>
      <c r="J49" s="656"/>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656"/>
      <c r="AL49" s="656"/>
      <c r="AM49" s="656"/>
      <c r="AN49" s="656"/>
      <c r="AO49" s="656"/>
      <c r="AP49" s="656"/>
      <c r="AQ49" s="656"/>
      <c r="AR49" s="656"/>
      <c r="AS49" s="656"/>
      <c r="AT49" s="656"/>
      <c r="AU49" s="656"/>
      <c r="AV49" s="656"/>
      <c r="AW49" s="656"/>
      <c r="AX49" s="656"/>
      <c r="AY49" s="656"/>
      <c r="AZ49" s="656"/>
      <c r="BA49" s="656"/>
      <c r="BB49" s="656"/>
      <c r="BC49" s="656"/>
      <c r="BD49" s="656"/>
      <c r="BE49" s="656"/>
      <c r="BF49" s="656"/>
      <c r="BG49" s="656"/>
      <c r="BH49" s="656"/>
      <c r="BI49" s="656"/>
      <c r="BJ49" s="656"/>
      <c r="BK49" s="656"/>
      <c r="BL49" s="656"/>
      <c r="BM49" s="656"/>
      <c r="BN49" s="656"/>
      <c r="BO49" s="656"/>
      <c r="BP49" s="656"/>
      <c r="BQ49" s="676"/>
      <c r="BR49" s="676"/>
      <c r="BS49" s="676"/>
      <c r="BT49" s="676"/>
      <c r="BU49" s="676"/>
      <c r="BV49" s="676"/>
      <c r="BW49" s="676"/>
      <c r="BX49" s="676"/>
      <c r="BY49" s="676"/>
      <c r="BZ49" s="676"/>
      <c r="CA49" s="676"/>
    </row>
    <row r="50" spans="1:79" s="3" customFormat="1" ht="19.5" customHeight="1">
      <c r="A50" s="3">
        <f>IF(BQ50=0,0,1)</f>
        <v>0</v>
      </c>
      <c r="B50" s="671" t="s">
        <v>889</v>
      </c>
      <c r="C50" s="664"/>
      <c r="D50" s="664"/>
      <c r="E50" s="664"/>
      <c r="F50" s="664"/>
      <c r="G50" s="664"/>
      <c r="H50" s="664"/>
      <c r="I50" s="664"/>
      <c r="J50" s="664"/>
      <c r="K50" s="664"/>
      <c r="L50" s="664"/>
      <c r="M50" s="664"/>
      <c r="N50" s="664"/>
      <c r="O50" s="664"/>
      <c r="P50" s="664"/>
      <c r="Q50" s="664"/>
      <c r="R50" s="664"/>
      <c r="S50" s="664"/>
      <c r="T50" s="664"/>
      <c r="U50" s="664"/>
      <c r="V50" s="664"/>
      <c r="W50" s="664"/>
      <c r="X50" s="664"/>
      <c r="Y50" s="664"/>
      <c r="Z50" s="664"/>
      <c r="AA50" s="664"/>
      <c r="AB50" s="664"/>
      <c r="AC50" s="664"/>
      <c r="AD50" s="664"/>
      <c r="AE50" s="664"/>
      <c r="AF50" s="664"/>
      <c r="AG50" s="664"/>
      <c r="AH50" s="664"/>
      <c r="AI50" s="664"/>
      <c r="AJ50" s="664"/>
      <c r="AK50" s="664"/>
      <c r="AL50" s="664"/>
      <c r="AM50" s="664"/>
      <c r="AN50" s="664"/>
      <c r="AO50" s="664"/>
      <c r="AP50" s="664"/>
      <c r="AQ50" s="664"/>
      <c r="AR50" s="664"/>
      <c r="AS50" s="664"/>
      <c r="AT50" s="664"/>
      <c r="AU50" s="664"/>
      <c r="AV50" s="664"/>
      <c r="AW50" s="664"/>
      <c r="AX50" s="664"/>
      <c r="AY50" s="664"/>
      <c r="AZ50" s="664"/>
      <c r="BA50" s="664"/>
      <c r="BB50" s="664"/>
      <c r="BC50" s="664"/>
      <c r="BD50" s="664"/>
      <c r="BE50" s="664"/>
      <c r="BF50" s="664"/>
      <c r="BG50" s="664"/>
      <c r="BH50" s="664"/>
      <c r="BI50" s="664"/>
      <c r="BJ50" s="664"/>
      <c r="BK50" s="664"/>
      <c r="BL50" s="664"/>
      <c r="BM50" s="664"/>
      <c r="BN50" s="664"/>
      <c r="BO50" s="664"/>
      <c r="BP50" s="664"/>
      <c r="BQ50" s="672">
        <f>Simulatore!C62</f>
        <v>0</v>
      </c>
      <c r="BR50" s="672"/>
      <c r="BS50" s="672"/>
      <c r="BT50" s="672"/>
      <c r="BU50" s="672"/>
      <c r="BV50" s="672"/>
      <c r="BW50" s="672"/>
      <c r="BX50" s="672"/>
      <c r="BY50" s="672"/>
      <c r="BZ50" s="672"/>
      <c r="CA50" s="672"/>
    </row>
    <row r="51" spans="1:79" s="3" customFormat="1" ht="16.5" customHeight="1">
      <c r="A51" s="3">
        <f>IF(CJ44=0,0,1)</f>
        <v>0</v>
      </c>
      <c r="B51" s="671" t="s">
        <v>890</v>
      </c>
      <c r="C51" s="664"/>
      <c r="D51" s="664"/>
      <c r="E51" s="664"/>
      <c r="F51" s="664"/>
      <c r="G51" s="664"/>
      <c r="H51" s="664"/>
      <c r="I51" s="664"/>
      <c r="J51" s="664"/>
      <c r="K51" s="664"/>
      <c r="L51" s="664"/>
      <c r="M51" s="664"/>
      <c r="N51" s="664"/>
      <c r="O51" s="664"/>
      <c r="P51" s="664"/>
      <c r="Q51" s="664"/>
      <c r="R51" s="664"/>
      <c r="S51" s="664"/>
      <c r="T51" s="664"/>
      <c r="U51" s="664"/>
      <c r="V51" s="664"/>
      <c r="W51" s="664"/>
      <c r="X51" s="664"/>
      <c r="Y51" s="664"/>
      <c r="Z51" s="664"/>
      <c r="AA51" s="664"/>
      <c r="AB51" s="664"/>
      <c r="AC51" s="664"/>
      <c r="AD51" s="664"/>
      <c r="AE51" s="664"/>
      <c r="AF51" s="664"/>
      <c r="AG51" s="664"/>
      <c r="AH51" s="664"/>
      <c r="AI51" s="664"/>
      <c r="AJ51" s="664"/>
      <c r="AK51" s="664"/>
      <c r="AL51" s="664"/>
      <c r="AM51" s="664"/>
      <c r="AN51" s="664"/>
      <c r="AO51" s="664"/>
      <c r="AP51" s="664"/>
      <c r="AQ51" s="664"/>
      <c r="AR51" s="664"/>
      <c r="AS51" s="664"/>
      <c r="AT51" s="664"/>
      <c r="AU51" s="664"/>
      <c r="AV51" s="664"/>
      <c r="AW51" s="664"/>
      <c r="AX51" s="664"/>
      <c r="AY51" s="664"/>
      <c r="AZ51" s="664"/>
      <c r="BA51" s="664"/>
      <c r="BB51" s="664"/>
      <c r="BC51" s="664"/>
      <c r="BD51" s="664"/>
      <c r="BE51" s="664"/>
      <c r="BF51" s="664"/>
      <c r="BG51" s="664"/>
      <c r="BH51" s="664"/>
      <c r="BI51" s="664"/>
      <c r="BJ51" s="664"/>
      <c r="BK51" s="664"/>
      <c r="BL51" s="664"/>
      <c r="BM51" s="664"/>
      <c r="BN51" s="664"/>
      <c r="BO51" s="664"/>
      <c r="BP51" s="664"/>
      <c r="BQ51" s="672">
        <f>IF(CI42=1,CJ43,0)</f>
        <v>0</v>
      </c>
      <c r="BR51" s="664"/>
      <c r="BS51" s="664"/>
      <c r="BT51" s="664"/>
      <c r="BU51" s="664"/>
      <c r="BV51" s="664"/>
      <c r="BW51" s="664"/>
      <c r="BX51" s="664"/>
      <c r="BY51" s="664"/>
      <c r="BZ51" s="664"/>
      <c r="CA51" s="664"/>
    </row>
    <row r="52" spans="1:79" s="3" customFormat="1" ht="15" customHeight="1">
      <c r="A52" s="3">
        <f>IF(CJ44&gt;=1,1,0)</f>
        <v>0</v>
      </c>
      <c r="B52" s="677" t="str">
        <f>""&amp;Riqualificazione!L55&amp;""&amp;Riqualificazione!L56&amp;""&amp;Riqualificazione!L57&amp;""&amp;Riqualificazione!L58&amp;""&amp;Riqualificazione!L59&amp;""&amp;Riqualificazione!L60&amp;""&amp;CJ45&amp;" "&amp;Riqualificazione!F29&amp;" €;"</f>
        <v>      varie e imprevisti, 0 €;</v>
      </c>
      <c r="C52" s="677"/>
      <c r="D52" s="677"/>
      <c r="E52" s="677"/>
      <c r="F52" s="677"/>
      <c r="G52" s="677"/>
      <c r="H52" s="677"/>
      <c r="I52" s="677"/>
      <c r="J52" s="677"/>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677"/>
      <c r="AJ52" s="677"/>
      <c r="AK52" s="677"/>
      <c r="AL52" s="677"/>
      <c r="AM52" s="677"/>
      <c r="AN52" s="677"/>
      <c r="AO52" s="677"/>
      <c r="AP52" s="677"/>
      <c r="AQ52" s="677"/>
      <c r="AR52" s="677"/>
      <c r="AS52" s="677"/>
      <c r="AT52" s="677"/>
      <c r="AU52" s="677"/>
      <c r="AV52" s="677"/>
      <c r="AW52" s="677"/>
      <c r="AX52" s="677"/>
      <c r="AY52" s="677"/>
      <c r="AZ52" s="677"/>
      <c r="BA52" s="677"/>
      <c r="BB52" s="677"/>
      <c r="BC52" s="677"/>
      <c r="BD52" s="677"/>
      <c r="BE52" s="677"/>
      <c r="BF52" s="677"/>
      <c r="BG52" s="677"/>
      <c r="BH52" s="677"/>
      <c r="BI52" s="677"/>
      <c r="BJ52" s="677"/>
      <c r="BK52" s="677"/>
      <c r="BL52" s="677"/>
      <c r="BM52" s="677"/>
      <c r="BN52" s="677"/>
      <c r="BO52" s="677"/>
      <c r="BP52" s="677"/>
      <c r="BQ52" s="664"/>
      <c r="BR52" s="664"/>
      <c r="BS52" s="664"/>
      <c r="BT52" s="664"/>
      <c r="BU52" s="664"/>
      <c r="BV52" s="664"/>
      <c r="BW52" s="664"/>
      <c r="BX52" s="664"/>
      <c r="BY52" s="664"/>
      <c r="BZ52" s="664"/>
      <c r="CA52" s="664"/>
    </row>
    <row r="53" spans="1:79" s="3" customFormat="1" ht="15" customHeight="1">
      <c r="A53" s="3">
        <f>IF(CJ44&gt;=1,1,0)</f>
        <v>0</v>
      </c>
      <c r="B53" s="677"/>
      <c r="C53" s="677"/>
      <c r="D53" s="677"/>
      <c r="E53" s="677"/>
      <c r="F53" s="677"/>
      <c r="G53" s="677"/>
      <c r="H53" s="677"/>
      <c r="I53" s="677"/>
      <c r="J53" s="677"/>
      <c r="K53" s="677"/>
      <c r="L53" s="677"/>
      <c r="M53" s="677"/>
      <c r="N53" s="677"/>
      <c r="O53" s="677"/>
      <c r="P53" s="677"/>
      <c r="Q53" s="677"/>
      <c r="R53" s="677"/>
      <c r="S53" s="677"/>
      <c r="T53" s="677"/>
      <c r="U53" s="677"/>
      <c r="V53" s="677"/>
      <c r="W53" s="677"/>
      <c r="X53" s="677"/>
      <c r="Y53" s="677"/>
      <c r="Z53" s="677"/>
      <c r="AA53" s="677"/>
      <c r="AB53" s="677"/>
      <c r="AC53" s="677"/>
      <c r="AD53" s="677"/>
      <c r="AE53" s="677"/>
      <c r="AF53" s="677"/>
      <c r="AG53" s="677"/>
      <c r="AH53" s="677"/>
      <c r="AI53" s="677"/>
      <c r="AJ53" s="677"/>
      <c r="AK53" s="677"/>
      <c r="AL53" s="677"/>
      <c r="AM53" s="677"/>
      <c r="AN53" s="677"/>
      <c r="AO53" s="677"/>
      <c r="AP53" s="677"/>
      <c r="AQ53" s="677"/>
      <c r="AR53" s="677"/>
      <c r="AS53" s="677"/>
      <c r="AT53" s="677"/>
      <c r="AU53" s="677"/>
      <c r="AV53" s="677"/>
      <c r="AW53" s="677"/>
      <c r="AX53" s="677"/>
      <c r="AY53" s="677"/>
      <c r="AZ53" s="677"/>
      <c r="BA53" s="677"/>
      <c r="BB53" s="677"/>
      <c r="BC53" s="677"/>
      <c r="BD53" s="677"/>
      <c r="BE53" s="677"/>
      <c r="BF53" s="677"/>
      <c r="BG53" s="677"/>
      <c r="BH53" s="677"/>
      <c r="BI53" s="677"/>
      <c r="BJ53" s="677"/>
      <c r="BK53" s="677"/>
      <c r="BL53" s="677"/>
      <c r="BM53" s="677"/>
      <c r="BN53" s="677"/>
      <c r="BO53" s="677"/>
      <c r="BP53" s="677"/>
      <c r="BQ53" s="664"/>
      <c r="BR53" s="664"/>
      <c r="BS53" s="664"/>
      <c r="BT53" s="664"/>
      <c r="BU53" s="664"/>
      <c r="BV53" s="664"/>
      <c r="BW53" s="664"/>
      <c r="BX53" s="664"/>
      <c r="BY53" s="664"/>
      <c r="BZ53" s="664"/>
      <c r="CA53" s="664"/>
    </row>
    <row r="54" spans="1:79" s="3" customFormat="1" ht="15" customHeight="1">
      <c r="A54" s="3">
        <f>IF(CJ44&gt;=2,1,0)</f>
        <v>0</v>
      </c>
      <c r="B54" s="677"/>
      <c r="C54" s="677"/>
      <c r="D54" s="677"/>
      <c r="E54" s="677"/>
      <c r="F54" s="677"/>
      <c r="G54" s="677"/>
      <c r="H54" s="677"/>
      <c r="I54" s="677"/>
      <c r="J54" s="677"/>
      <c r="K54" s="677"/>
      <c r="L54" s="677"/>
      <c r="M54" s="677"/>
      <c r="N54" s="677"/>
      <c r="O54" s="677"/>
      <c r="P54" s="677"/>
      <c r="Q54" s="677"/>
      <c r="R54" s="677"/>
      <c r="S54" s="677"/>
      <c r="T54" s="677"/>
      <c r="U54" s="677"/>
      <c r="V54" s="677"/>
      <c r="W54" s="677"/>
      <c r="X54" s="677"/>
      <c r="Y54" s="677"/>
      <c r="Z54" s="677"/>
      <c r="AA54" s="677"/>
      <c r="AB54" s="677"/>
      <c r="AC54" s="677"/>
      <c r="AD54" s="677"/>
      <c r="AE54" s="677"/>
      <c r="AF54" s="677"/>
      <c r="AG54" s="677"/>
      <c r="AH54" s="677"/>
      <c r="AI54" s="677"/>
      <c r="AJ54" s="677"/>
      <c r="AK54" s="677"/>
      <c r="AL54" s="677"/>
      <c r="AM54" s="677"/>
      <c r="AN54" s="677"/>
      <c r="AO54" s="677"/>
      <c r="AP54" s="677"/>
      <c r="AQ54" s="677"/>
      <c r="AR54" s="677"/>
      <c r="AS54" s="677"/>
      <c r="AT54" s="677"/>
      <c r="AU54" s="677"/>
      <c r="AV54" s="677"/>
      <c r="AW54" s="677"/>
      <c r="AX54" s="677"/>
      <c r="AY54" s="677"/>
      <c r="AZ54" s="677"/>
      <c r="BA54" s="677"/>
      <c r="BB54" s="677"/>
      <c r="BC54" s="677"/>
      <c r="BD54" s="677"/>
      <c r="BE54" s="677"/>
      <c r="BF54" s="677"/>
      <c r="BG54" s="677"/>
      <c r="BH54" s="677"/>
      <c r="BI54" s="677"/>
      <c r="BJ54" s="677"/>
      <c r="BK54" s="677"/>
      <c r="BL54" s="677"/>
      <c r="BM54" s="677"/>
      <c r="BN54" s="677"/>
      <c r="BO54" s="677"/>
      <c r="BP54" s="677"/>
      <c r="BQ54" s="664"/>
      <c r="BR54" s="664"/>
      <c r="BS54" s="664"/>
      <c r="BT54" s="664"/>
      <c r="BU54" s="664"/>
      <c r="BV54" s="664"/>
      <c r="BW54" s="664"/>
      <c r="BX54" s="664"/>
      <c r="BY54" s="664"/>
      <c r="BZ54" s="664"/>
      <c r="CA54" s="664"/>
    </row>
    <row r="55" spans="1:79" s="3" customFormat="1" ht="15" customHeight="1">
      <c r="A55" s="3">
        <f>IF(CJ44&gt;=4,1,0)</f>
        <v>0</v>
      </c>
      <c r="B55" s="677"/>
      <c r="C55" s="677"/>
      <c r="D55" s="677"/>
      <c r="E55" s="677"/>
      <c r="F55" s="677"/>
      <c r="G55" s="677"/>
      <c r="H55" s="677"/>
      <c r="I55" s="677"/>
      <c r="J55" s="677"/>
      <c r="K55" s="677"/>
      <c r="L55" s="677"/>
      <c r="M55" s="677"/>
      <c r="N55" s="677"/>
      <c r="O55" s="677"/>
      <c r="P55" s="677"/>
      <c r="Q55" s="677"/>
      <c r="R55" s="677"/>
      <c r="S55" s="677"/>
      <c r="T55" s="677"/>
      <c r="U55" s="677"/>
      <c r="V55" s="677"/>
      <c r="W55" s="677"/>
      <c r="X55" s="677"/>
      <c r="Y55" s="677"/>
      <c r="Z55" s="677"/>
      <c r="AA55" s="677"/>
      <c r="AB55" s="677"/>
      <c r="AC55" s="677"/>
      <c r="AD55" s="677"/>
      <c r="AE55" s="677"/>
      <c r="AF55" s="677"/>
      <c r="AG55" s="677"/>
      <c r="AH55" s="677"/>
      <c r="AI55" s="677"/>
      <c r="AJ55" s="677"/>
      <c r="AK55" s="677"/>
      <c r="AL55" s="677"/>
      <c r="AM55" s="677"/>
      <c r="AN55" s="677"/>
      <c r="AO55" s="677"/>
      <c r="AP55" s="677"/>
      <c r="AQ55" s="677"/>
      <c r="AR55" s="677"/>
      <c r="AS55" s="677"/>
      <c r="AT55" s="677"/>
      <c r="AU55" s="677"/>
      <c r="AV55" s="677"/>
      <c r="AW55" s="677"/>
      <c r="AX55" s="677"/>
      <c r="AY55" s="677"/>
      <c r="AZ55" s="677"/>
      <c r="BA55" s="677"/>
      <c r="BB55" s="677"/>
      <c r="BC55" s="677"/>
      <c r="BD55" s="677"/>
      <c r="BE55" s="677"/>
      <c r="BF55" s="677"/>
      <c r="BG55" s="677"/>
      <c r="BH55" s="677"/>
      <c r="BI55" s="677"/>
      <c r="BJ55" s="677"/>
      <c r="BK55" s="677"/>
      <c r="BL55" s="677"/>
      <c r="BM55" s="677"/>
      <c r="BN55" s="677"/>
      <c r="BO55" s="677"/>
      <c r="BP55" s="677"/>
      <c r="BQ55" s="664"/>
      <c r="BR55" s="664"/>
      <c r="BS55" s="664"/>
      <c r="BT55" s="664"/>
      <c r="BU55" s="664"/>
      <c r="BV55" s="664"/>
      <c r="BW55" s="664"/>
      <c r="BX55" s="664"/>
      <c r="BY55" s="664"/>
      <c r="BZ55" s="664"/>
      <c r="CA55" s="664"/>
    </row>
    <row r="56" spans="1:79" s="3" customFormat="1" ht="15" customHeight="1">
      <c r="A56" s="3">
        <f>IF(CJ44&gt;=5,1,0)</f>
        <v>0</v>
      </c>
      <c r="B56" s="677"/>
      <c r="C56" s="677"/>
      <c r="D56" s="677"/>
      <c r="E56" s="677"/>
      <c r="F56" s="677"/>
      <c r="G56" s="677"/>
      <c r="H56" s="677"/>
      <c r="I56" s="677"/>
      <c r="J56" s="677"/>
      <c r="K56" s="677"/>
      <c r="L56" s="677"/>
      <c r="M56" s="677"/>
      <c r="N56" s="677"/>
      <c r="O56" s="677"/>
      <c r="P56" s="677"/>
      <c r="Q56" s="677"/>
      <c r="R56" s="677"/>
      <c r="S56" s="677"/>
      <c r="T56" s="677"/>
      <c r="U56" s="677"/>
      <c r="V56" s="677"/>
      <c r="W56" s="677"/>
      <c r="X56" s="677"/>
      <c r="Y56" s="677"/>
      <c r="Z56" s="677"/>
      <c r="AA56" s="677"/>
      <c r="AB56" s="677"/>
      <c r="AC56" s="677"/>
      <c r="AD56" s="677"/>
      <c r="AE56" s="677"/>
      <c r="AF56" s="677"/>
      <c r="AG56" s="677"/>
      <c r="AH56" s="677"/>
      <c r="AI56" s="677"/>
      <c r="AJ56" s="677"/>
      <c r="AK56" s="677"/>
      <c r="AL56" s="677"/>
      <c r="AM56" s="677"/>
      <c r="AN56" s="677"/>
      <c r="AO56" s="677"/>
      <c r="AP56" s="677"/>
      <c r="AQ56" s="677"/>
      <c r="AR56" s="677"/>
      <c r="AS56" s="677"/>
      <c r="AT56" s="677"/>
      <c r="AU56" s="677"/>
      <c r="AV56" s="677"/>
      <c r="AW56" s="677"/>
      <c r="AX56" s="677"/>
      <c r="AY56" s="677"/>
      <c r="AZ56" s="677"/>
      <c r="BA56" s="677"/>
      <c r="BB56" s="677"/>
      <c r="BC56" s="677"/>
      <c r="BD56" s="677"/>
      <c r="BE56" s="677"/>
      <c r="BF56" s="677"/>
      <c r="BG56" s="677"/>
      <c r="BH56" s="677"/>
      <c r="BI56" s="677"/>
      <c r="BJ56" s="677"/>
      <c r="BK56" s="677"/>
      <c r="BL56" s="677"/>
      <c r="BM56" s="677"/>
      <c r="BN56" s="677"/>
      <c r="BO56" s="677"/>
      <c r="BP56" s="677"/>
      <c r="BQ56" s="664"/>
      <c r="BR56" s="664"/>
      <c r="BS56" s="664"/>
      <c r="BT56" s="664"/>
      <c r="BU56" s="664"/>
      <c r="BV56" s="664"/>
      <c r="BW56" s="664"/>
      <c r="BX56" s="664"/>
      <c r="BY56" s="664"/>
      <c r="BZ56" s="664"/>
      <c r="CA56" s="664"/>
    </row>
    <row r="57" spans="1:79" s="3" customFormat="1" ht="15" customHeight="1">
      <c r="A57" s="3">
        <f>IF(CJ44&gt;=6,1,0)</f>
        <v>0</v>
      </c>
      <c r="B57" s="677"/>
      <c r="C57" s="677"/>
      <c r="D57" s="677"/>
      <c r="E57" s="677"/>
      <c r="F57" s="677"/>
      <c r="G57" s="677"/>
      <c r="H57" s="677"/>
      <c r="I57" s="677"/>
      <c r="J57" s="677"/>
      <c r="K57" s="677"/>
      <c r="L57" s="677"/>
      <c r="M57" s="677"/>
      <c r="N57" s="677"/>
      <c r="O57" s="677"/>
      <c r="P57" s="677"/>
      <c r="Q57" s="677"/>
      <c r="R57" s="677"/>
      <c r="S57" s="677"/>
      <c r="T57" s="677"/>
      <c r="U57" s="677"/>
      <c r="V57" s="677"/>
      <c r="W57" s="677"/>
      <c r="X57" s="677"/>
      <c r="Y57" s="677"/>
      <c r="Z57" s="677"/>
      <c r="AA57" s="677"/>
      <c r="AB57" s="677"/>
      <c r="AC57" s="677"/>
      <c r="AD57" s="677"/>
      <c r="AE57" s="677"/>
      <c r="AF57" s="677"/>
      <c r="AG57" s="677"/>
      <c r="AH57" s="677"/>
      <c r="AI57" s="677"/>
      <c r="AJ57" s="677"/>
      <c r="AK57" s="677"/>
      <c r="AL57" s="677"/>
      <c r="AM57" s="677"/>
      <c r="AN57" s="677"/>
      <c r="AO57" s="677"/>
      <c r="AP57" s="677"/>
      <c r="AQ57" s="677"/>
      <c r="AR57" s="677"/>
      <c r="AS57" s="677"/>
      <c r="AT57" s="677"/>
      <c r="AU57" s="677"/>
      <c r="AV57" s="677"/>
      <c r="AW57" s="677"/>
      <c r="AX57" s="677"/>
      <c r="AY57" s="677"/>
      <c r="AZ57" s="677"/>
      <c r="BA57" s="677"/>
      <c r="BB57" s="677"/>
      <c r="BC57" s="677"/>
      <c r="BD57" s="677"/>
      <c r="BE57" s="677"/>
      <c r="BF57" s="677"/>
      <c r="BG57" s="677"/>
      <c r="BH57" s="677"/>
      <c r="BI57" s="677"/>
      <c r="BJ57" s="677"/>
      <c r="BK57" s="677"/>
      <c r="BL57" s="677"/>
      <c r="BM57" s="677"/>
      <c r="BN57" s="677"/>
      <c r="BO57" s="677"/>
      <c r="BP57" s="677"/>
      <c r="BQ57" s="664"/>
      <c r="BR57" s="664"/>
      <c r="BS57" s="664"/>
      <c r="BT57" s="664"/>
      <c r="BU57" s="664"/>
      <c r="BV57" s="664"/>
      <c r="BW57" s="664"/>
      <c r="BX57" s="664"/>
      <c r="BY57" s="664"/>
      <c r="BZ57" s="664"/>
      <c r="CA57" s="664"/>
    </row>
    <row r="58" spans="1:79" s="3" customFormat="1" ht="19.5" customHeight="1">
      <c r="A58" s="3">
        <f>IF(Simulatore!BB30=3,1,0)</f>
        <v>0</v>
      </c>
      <c r="B58" s="677" t="s">
        <v>891</v>
      </c>
      <c r="C58" s="677"/>
      <c r="D58" s="677"/>
      <c r="E58" s="677"/>
      <c r="F58" s="677"/>
      <c r="G58" s="677"/>
      <c r="H58" s="677"/>
      <c r="I58" s="677"/>
      <c r="J58" s="677"/>
      <c r="K58" s="677"/>
      <c r="L58" s="677"/>
      <c r="M58" s="677"/>
      <c r="N58" s="677"/>
      <c r="O58" s="677"/>
      <c r="P58" s="677"/>
      <c r="Q58" s="677"/>
      <c r="R58" s="677"/>
      <c r="S58" s="677"/>
      <c r="T58" s="677"/>
      <c r="U58" s="677"/>
      <c r="V58" s="677"/>
      <c r="W58" s="677"/>
      <c r="X58" s="677"/>
      <c r="Y58" s="677"/>
      <c r="Z58" s="677"/>
      <c r="AA58" s="677"/>
      <c r="AB58" s="677"/>
      <c r="AC58" s="677"/>
      <c r="AD58" s="677"/>
      <c r="AE58" s="677"/>
      <c r="AF58" s="677"/>
      <c r="AG58" s="677"/>
      <c r="AH58" s="677"/>
      <c r="AI58" s="677"/>
      <c r="AJ58" s="677"/>
      <c r="AK58" s="677"/>
      <c r="AL58" s="677"/>
      <c r="AM58" s="677"/>
      <c r="AN58" s="677"/>
      <c r="AO58" s="677"/>
      <c r="AP58" s="677"/>
      <c r="AQ58" s="677"/>
      <c r="AR58" s="677"/>
      <c r="AS58" s="677"/>
      <c r="AT58" s="677"/>
      <c r="AU58" s="677"/>
      <c r="AV58" s="677"/>
      <c r="AW58" s="677"/>
      <c r="AX58" s="677"/>
      <c r="AY58" s="677"/>
      <c r="AZ58" s="677"/>
      <c r="BA58" s="677"/>
      <c r="BB58" s="677"/>
      <c r="BC58" s="677"/>
      <c r="BD58" s="677"/>
      <c r="BE58" s="677"/>
      <c r="BF58" s="677"/>
      <c r="BG58" s="677"/>
      <c r="BH58" s="677"/>
      <c r="BI58" s="677"/>
      <c r="BJ58" s="677"/>
      <c r="BK58" s="677"/>
      <c r="BL58" s="677"/>
      <c r="BM58" s="677"/>
      <c r="BN58" s="677"/>
      <c r="BO58" s="677"/>
      <c r="BP58" s="677"/>
      <c r="BQ58" s="672">
        <f>Simulatore!BD30</f>
        <v>0</v>
      </c>
      <c r="BR58" s="732"/>
      <c r="BS58" s="732"/>
      <c r="BT58" s="732"/>
      <c r="BU58" s="732"/>
      <c r="BV58" s="732"/>
      <c r="BW58" s="732"/>
      <c r="BX58" s="732"/>
      <c r="BY58" s="732"/>
      <c r="BZ58" s="732"/>
      <c r="CA58" s="732"/>
    </row>
    <row r="59" spans="1:79" s="3" customFormat="1" ht="19.5" customHeight="1">
      <c r="A59" s="3">
        <f>IF(BQ59=0,0,1)</f>
        <v>0</v>
      </c>
      <c r="B59" s="674" t="s">
        <v>843</v>
      </c>
      <c r="C59" s="697"/>
      <c r="D59" s="697"/>
      <c r="E59" s="697"/>
      <c r="F59" s="697"/>
      <c r="G59" s="697"/>
      <c r="H59" s="697"/>
      <c r="I59" s="697"/>
      <c r="J59" s="697"/>
      <c r="K59" s="697"/>
      <c r="L59" s="697"/>
      <c r="M59" s="697"/>
      <c r="N59" s="697"/>
      <c r="O59" s="697"/>
      <c r="P59" s="697"/>
      <c r="Q59" s="697"/>
      <c r="R59" s="697"/>
      <c r="S59" s="669" t="str">
        <f>"da "&amp;A!H214&amp;" kWh, autoconsumo fino al "&amp;A!H215&amp;"%"</f>
        <v>da 9,2 kWh, autoconsumo fino al 44%</v>
      </c>
      <c r="T59" s="670"/>
      <c r="U59" s="670"/>
      <c r="V59" s="670"/>
      <c r="W59" s="670"/>
      <c r="X59" s="670"/>
      <c r="Y59" s="670"/>
      <c r="Z59" s="670"/>
      <c r="AA59" s="670"/>
      <c r="AB59" s="670"/>
      <c r="AC59" s="670"/>
      <c r="AD59" s="671"/>
      <c r="AE59" s="671"/>
      <c r="AF59" s="671"/>
      <c r="AG59" s="671"/>
      <c r="AH59" s="671"/>
      <c r="AI59" s="671"/>
      <c r="AJ59" s="671"/>
      <c r="AK59" s="671"/>
      <c r="AL59" s="671"/>
      <c r="AM59" s="671"/>
      <c r="AN59" s="671"/>
      <c r="AO59" s="671"/>
      <c r="AP59" s="671"/>
      <c r="AQ59" s="671"/>
      <c r="AR59" s="671"/>
      <c r="AS59" s="671"/>
      <c r="AT59" s="671"/>
      <c r="AU59" s="671"/>
      <c r="AV59" s="671"/>
      <c r="AW59" s="671"/>
      <c r="AX59" s="671"/>
      <c r="AY59" s="671"/>
      <c r="AZ59" s="671"/>
      <c r="BA59" s="671"/>
      <c r="BB59" s="671"/>
      <c r="BC59" s="671"/>
      <c r="BD59" s="671"/>
      <c r="BE59" s="671"/>
      <c r="BF59" s="671"/>
      <c r="BG59" s="671"/>
      <c r="BH59" s="671"/>
      <c r="BI59" s="671"/>
      <c r="BJ59" s="671"/>
      <c r="BK59" s="671"/>
      <c r="BL59" s="671"/>
      <c r="BM59" s="671"/>
      <c r="BN59" s="671"/>
      <c r="BO59" s="671"/>
      <c r="BP59" s="671"/>
      <c r="BQ59" s="672">
        <f>A!H212</f>
        <v>0</v>
      </c>
      <c r="BR59" s="672"/>
      <c r="BS59" s="672"/>
      <c r="BT59" s="672"/>
      <c r="BU59" s="672"/>
      <c r="BV59" s="672"/>
      <c r="BW59" s="672"/>
      <c r="BX59" s="672"/>
      <c r="BY59" s="672"/>
      <c r="BZ59" s="672"/>
      <c r="CA59" s="672"/>
    </row>
    <row r="60" spans="1:79" s="3" customFormat="1" ht="19.5" customHeight="1">
      <c r="A60" s="3">
        <f>IF(B60=0,0,1)</f>
        <v>0</v>
      </c>
      <c r="B60" s="693">
        <f>Simulatore!D70</f>
        <v>0</v>
      </c>
      <c r="C60" s="671"/>
      <c r="D60" s="671"/>
      <c r="E60" s="671"/>
      <c r="F60" s="671"/>
      <c r="G60" s="671"/>
      <c r="H60" s="671"/>
      <c r="I60" s="671"/>
      <c r="J60" s="671"/>
      <c r="K60" s="671"/>
      <c r="L60" s="671"/>
      <c r="M60" s="671"/>
      <c r="N60" s="671"/>
      <c r="O60" s="671"/>
      <c r="P60" s="669">
        <f>Simulatore!F70</f>
        <v>0</v>
      </c>
      <c r="Q60" s="670"/>
      <c r="R60" s="670"/>
      <c r="S60" s="670"/>
      <c r="T60" s="670"/>
      <c r="U60" s="670"/>
      <c r="V60" s="670"/>
      <c r="W60" s="670"/>
      <c r="X60" s="670"/>
      <c r="Y60" s="670"/>
      <c r="Z60" s="670"/>
      <c r="AA60" s="671"/>
      <c r="AB60" s="671"/>
      <c r="AC60" s="671"/>
      <c r="AD60" s="671"/>
      <c r="AE60" s="671"/>
      <c r="AF60" s="671"/>
      <c r="AG60" s="671"/>
      <c r="AH60" s="671"/>
      <c r="AI60" s="671"/>
      <c r="AJ60" s="671"/>
      <c r="AK60" s="671"/>
      <c r="AL60" s="671"/>
      <c r="AM60" s="671"/>
      <c r="AN60" s="671"/>
      <c r="AO60" s="671"/>
      <c r="AP60" s="671"/>
      <c r="AQ60" s="671"/>
      <c r="AR60" s="671"/>
      <c r="AS60" s="671"/>
      <c r="AT60" s="671"/>
      <c r="AU60" s="671"/>
      <c r="AV60" s="671"/>
      <c r="AW60" s="671"/>
      <c r="AX60" s="671"/>
      <c r="AY60" s="671"/>
      <c r="AZ60" s="671"/>
      <c r="BA60" s="671"/>
      <c r="BB60" s="671"/>
      <c r="BC60" s="671"/>
      <c r="BD60" s="671"/>
      <c r="BE60" s="671"/>
      <c r="BF60" s="671"/>
      <c r="BG60" s="671"/>
      <c r="BH60" s="671"/>
      <c r="BI60" s="671"/>
      <c r="BJ60" s="671"/>
      <c r="BK60" s="671"/>
      <c r="BL60" s="671"/>
      <c r="BM60" s="671"/>
      <c r="BN60" s="671"/>
      <c r="BO60" s="671"/>
      <c r="BP60" s="671"/>
      <c r="BQ60" s="672">
        <f>Simulatore!C70</f>
        <v>0.1</v>
      </c>
      <c r="BR60" s="673"/>
      <c r="BS60" s="673"/>
      <c r="BT60" s="673"/>
      <c r="BU60" s="673"/>
      <c r="BV60" s="673"/>
      <c r="BW60" s="673"/>
      <c r="BX60" s="673"/>
      <c r="BY60" s="673"/>
      <c r="BZ60" s="673"/>
      <c r="CA60" s="673"/>
    </row>
    <row r="61" spans="1:79" s="3" customFormat="1" ht="18.75" customHeight="1">
      <c r="A61" s="3">
        <v>1</v>
      </c>
      <c r="B61" s="721" t="s">
        <v>892</v>
      </c>
      <c r="C61" s="695"/>
      <c r="D61" s="695"/>
      <c r="E61" s="695"/>
      <c r="F61" s="695"/>
      <c r="G61" s="695"/>
      <c r="H61" s="695"/>
      <c r="I61" s="695"/>
      <c r="J61" s="695"/>
      <c r="K61" s="695"/>
      <c r="L61" s="695"/>
      <c r="M61" s="695"/>
      <c r="N61" s="695"/>
      <c r="O61" s="695"/>
      <c r="P61" s="695"/>
      <c r="Q61" s="695"/>
      <c r="R61" s="695"/>
      <c r="S61" s="695"/>
      <c r="T61" s="695"/>
      <c r="U61" s="695"/>
      <c r="V61" s="695"/>
      <c r="W61" s="695"/>
      <c r="X61" s="695"/>
      <c r="Y61" s="695"/>
      <c r="Z61" s="695"/>
      <c r="AA61" s="695"/>
      <c r="AB61" s="695"/>
      <c r="AC61" s="695"/>
      <c r="AD61" s="695"/>
      <c r="AE61" s="695"/>
      <c r="AF61" s="695"/>
      <c r="AG61" s="695"/>
      <c r="AH61" s="695"/>
      <c r="AI61" s="695"/>
      <c r="AJ61" s="695"/>
      <c r="AK61" s="695"/>
      <c r="AL61" s="695"/>
      <c r="AM61" s="695"/>
      <c r="AN61" s="695"/>
      <c r="AO61" s="695"/>
      <c r="AP61" s="695"/>
      <c r="AQ61" s="695"/>
      <c r="AR61" s="695"/>
      <c r="AS61" s="695"/>
      <c r="AT61" s="695"/>
      <c r="AU61" s="695"/>
      <c r="AV61" s="695"/>
      <c r="AW61" s="695"/>
      <c r="AX61" s="695"/>
      <c r="AY61" s="695"/>
      <c r="AZ61" s="695"/>
      <c r="BA61" s="695"/>
      <c r="BB61" s="695"/>
      <c r="BC61" s="695"/>
      <c r="BD61" s="695"/>
      <c r="BE61" s="695"/>
      <c r="BF61" s="695"/>
      <c r="BG61" s="695"/>
      <c r="BH61" s="695"/>
      <c r="BI61" s="695"/>
      <c r="BJ61" s="695"/>
      <c r="BK61" s="695"/>
      <c r="BL61" s="695"/>
      <c r="BM61" s="695"/>
      <c r="BN61" s="695"/>
      <c r="BO61" s="695"/>
      <c r="BP61" s="695"/>
      <c r="BQ61" s="672">
        <f>BQ46+BQ48+BQ50+BQ51+BQ58+BQ59+BQ60</f>
        <v>13590.743152676796</v>
      </c>
      <c r="BR61" s="672"/>
      <c r="BS61" s="672"/>
      <c r="BT61" s="672"/>
      <c r="BU61" s="672"/>
      <c r="BV61" s="672"/>
      <c r="BW61" s="672"/>
      <c r="BX61" s="672"/>
      <c r="BY61" s="672"/>
      <c r="BZ61" s="672"/>
      <c r="CA61" s="672"/>
    </row>
    <row r="62" spans="1:88" s="3" customFormat="1" ht="16.5" customHeight="1">
      <c r="A62" s="3">
        <v>1</v>
      </c>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CE62" s="286">
        <f>CE63*100</f>
        <v>63.23248320707147</v>
      </c>
      <c r="CF62" s="3">
        <f>FLOOR(CE62,1)</f>
        <v>63</v>
      </c>
      <c r="CG62" s="281" t="e">
        <f>FLOOR(CG63,1)</f>
        <v>#NUM!</v>
      </c>
      <c r="CH62" s="3">
        <f>FLOOR(CH63,0.1)</f>
        <v>18.400000000000002</v>
      </c>
      <c r="CI62" s="3">
        <f>CEILING(CI63,0.1)</f>
        <v>32.7</v>
      </c>
      <c r="CJ62" s="264">
        <f>FLOOR(CJ63,0.1)</f>
        <v>100</v>
      </c>
    </row>
    <row r="63" spans="1:88" s="3" customFormat="1" ht="16.5" customHeight="1">
      <c r="A63" s="3">
        <v>1</v>
      </c>
      <c r="B63" s="667" t="s">
        <v>857</v>
      </c>
      <c r="C63" s="664"/>
      <c r="D63" s="664"/>
      <c r="E63" s="664"/>
      <c r="F63" s="664"/>
      <c r="G63" s="664"/>
      <c r="H63" s="664"/>
      <c r="I63" s="668" t="str">
        <f>"COSTI/BENEFICI NEI "&amp;CF120&amp;" ANNI"</f>
        <v>COSTI/BENEFICI NEI 20 ANNI</v>
      </c>
      <c r="J63" s="664"/>
      <c r="K63" s="664"/>
      <c r="L63" s="664"/>
      <c r="M63" s="664"/>
      <c r="N63" s="664"/>
      <c r="O63" s="664"/>
      <c r="P63" s="664"/>
      <c r="Q63" s="664"/>
      <c r="R63" s="664"/>
      <c r="S63" s="664"/>
      <c r="T63" s="664"/>
      <c r="U63" s="664"/>
      <c r="V63" s="664"/>
      <c r="W63" s="664"/>
      <c r="X63" s="664"/>
      <c r="Y63" s="664"/>
      <c r="Z63" s="664"/>
      <c r="AA63" s="664"/>
      <c r="AB63" s="664"/>
      <c r="AC63" s="664"/>
      <c r="AD63" s="664"/>
      <c r="AE63" s="664"/>
      <c r="AF63" s="664"/>
      <c r="AG63" s="664"/>
      <c r="AH63" s="664"/>
      <c r="AI63" s="664"/>
      <c r="AJ63" s="664"/>
      <c r="AK63" s="664"/>
      <c r="AL63" s="8"/>
      <c r="AM63" s="728" t="s">
        <v>160</v>
      </c>
      <c r="AN63" s="664"/>
      <c r="AO63" s="664"/>
      <c r="AP63" s="664"/>
      <c r="AQ63" s="664"/>
      <c r="AR63" s="664"/>
      <c r="AS63" s="664"/>
      <c r="AT63" s="664"/>
      <c r="AV63" s="728" t="s">
        <v>810</v>
      </c>
      <c r="AW63" s="664"/>
      <c r="AX63" s="664"/>
      <c r="AY63" s="664"/>
      <c r="AZ63" s="664"/>
      <c r="BA63" s="664"/>
      <c r="BB63" s="664"/>
      <c r="BC63" s="664"/>
      <c r="BD63" s="8"/>
      <c r="BE63" s="8"/>
      <c r="BF63" s="661" t="s">
        <v>808</v>
      </c>
      <c r="BG63" s="664"/>
      <c r="BH63" s="664"/>
      <c r="BI63" s="664"/>
      <c r="BJ63" s="664"/>
      <c r="BK63" s="664"/>
      <c r="BL63" s="664"/>
      <c r="BM63" s="664"/>
      <c r="BN63" s="664"/>
      <c r="BO63" s="664"/>
      <c r="BP63" s="664"/>
      <c r="BQ63" s="664"/>
      <c r="BR63" s="664"/>
      <c r="BS63" s="664"/>
      <c r="BT63" s="664"/>
      <c r="BU63" s="664"/>
      <c r="BV63" s="664"/>
      <c r="BW63" s="664"/>
      <c r="BX63" s="664"/>
      <c r="BY63" s="664"/>
      <c r="BZ63" s="664"/>
      <c r="CA63" s="664"/>
      <c r="CD63" s="293">
        <f>B!B29</f>
        <v>24698.317085570707</v>
      </c>
      <c r="CE63" s="286">
        <f>AM72/CD63</f>
        <v>0.6323248320707147</v>
      </c>
      <c r="CF63" s="286">
        <f>IF(CE63&gt;=1,100,CF62)</f>
        <v>63</v>
      </c>
      <c r="CG63" s="294">
        <f>(AM72-CD63)/1000</f>
        <v>-9.080957882007947</v>
      </c>
      <c r="CH63" s="264">
        <f>BV67*100</f>
        <v>18.452172879743255</v>
      </c>
      <c r="CI63" s="264">
        <f>BU64*100</f>
        <v>32.63382851185822</v>
      </c>
      <c r="CJ63" s="3">
        <f>A!H68*100</f>
        <v>100</v>
      </c>
    </row>
    <row r="64" spans="1:116" s="3" customFormat="1" ht="16.5" customHeight="1">
      <c r="A64" s="3">
        <v>1</v>
      </c>
      <c r="B64" s="698" t="str">
        <f>B45</f>
        <v>Riepilogo INVESTIMENTI INIZIALI 1° ANNO</v>
      </c>
      <c r="C64" s="698"/>
      <c r="D64" s="698"/>
      <c r="E64" s="698"/>
      <c r="F64" s="698"/>
      <c r="G64" s="698"/>
      <c r="H64" s="698"/>
      <c r="I64" s="698"/>
      <c r="J64" s="698"/>
      <c r="K64" s="698"/>
      <c r="L64" s="698"/>
      <c r="M64" s="698"/>
      <c r="N64" s="698"/>
      <c r="O64" s="698"/>
      <c r="P64" s="698"/>
      <c r="Q64" s="698"/>
      <c r="R64" s="698"/>
      <c r="S64" s="698"/>
      <c r="T64" s="698"/>
      <c r="U64" s="698"/>
      <c r="V64" s="698"/>
      <c r="W64" s="698"/>
      <c r="X64" s="698"/>
      <c r="Y64" s="698"/>
      <c r="Z64" s="698"/>
      <c r="AA64" s="698"/>
      <c r="AB64" s="698"/>
      <c r="AC64" s="698"/>
      <c r="AD64" s="698"/>
      <c r="AE64" s="698"/>
      <c r="AF64" s="698"/>
      <c r="AG64" s="698"/>
      <c r="AH64" s="698"/>
      <c r="AI64" s="657"/>
      <c r="AJ64" s="657"/>
      <c r="AK64" s="657"/>
      <c r="AL64" s="8"/>
      <c r="AM64" s="691">
        <f>BQ61</f>
        <v>13590.743152676796</v>
      </c>
      <c r="AN64" s="664"/>
      <c r="AO64" s="664"/>
      <c r="AP64" s="664"/>
      <c r="AQ64" s="664"/>
      <c r="AR64" s="664"/>
      <c r="AS64" s="664"/>
      <c r="AT64" s="664"/>
      <c r="AU64" s="8"/>
      <c r="AV64" s="691"/>
      <c r="AW64" s="664"/>
      <c r="AX64" s="664"/>
      <c r="AY64" s="664"/>
      <c r="AZ64" s="664"/>
      <c r="BA64" s="664"/>
      <c r="BB64" s="664"/>
      <c r="BC64" s="664"/>
      <c r="BD64" s="8"/>
      <c r="BE64" s="8"/>
      <c r="BF64" s="685" t="str">
        <f>Simulatore!M20</f>
        <v>AUTONOMIA ENERGETICA dell'abitazione</v>
      </c>
      <c r="BG64" s="657"/>
      <c r="BH64" s="657"/>
      <c r="BI64" s="657"/>
      <c r="BJ64" s="657"/>
      <c r="BK64" s="657"/>
      <c r="BL64" s="657"/>
      <c r="BM64" s="657"/>
      <c r="BN64" s="657"/>
      <c r="BO64" s="657"/>
      <c r="BP64" s="657"/>
      <c r="BQ64" s="657"/>
      <c r="BR64" s="657"/>
      <c r="BS64" s="657"/>
      <c r="BT64" s="657"/>
      <c r="BU64" s="733">
        <f>Simulatore!R20</f>
        <v>0.3263382851185822</v>
      </c>
      <c r="BV64" s="664"/>
      <c r="BW64" s="664"/>
      <c r="BX64" s="664"/>
      <c r="BY64" s="664"/>
      <c r="BZ64" s="664"/>
      <c r="CA64" s="664"/>
      <c r="CC64" s="295"/>
      <c r="CD64" s="271" t="str">
        <f>"- L'energia elettrica prodotta dall'impianto fotovoltaico porta al "&amp;CJ62&amp;"% l'autonomia sul fabbisogno elettrico."</f>
        <v>- L'energia elettrica prodotta dall'impianto fotovoltaico porta al 100% l'autonomia sul fabbisogno elettrico.</v>
      </c>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row>
    <row r="65" spans="1:82" s="3" customFormat="1" ht="16.5" customHeight="1">
      <c r="A65" s="3">
        <v>1</v>
      </c>
      <c r="B65" s="698" t="str">
        <f>Simulatore!M9</f>
        <v>Costo INTERESSI</v>
      </c>
      <c r="C65" s="698"/>
      <c r="D65" s="698"/>
      <c r="E65" s="698"/>
      <c r="F65" s="698"/>
      <c r="G65" s="698"/>
      <c r="H65" s="698"/>
      <c r="I65" s="698"/>
      <c r="J65" s="698"/>
      <c r="K65" s="698"/>
      <c r="L65" s="698"/>
      <c r="M65" s="698"/>
      <c r="N65" s="698"/>
      <c r="O65" s="698"/>
      <c r="P65" s="698"/>
      <c r="Q65" s="698"/>
      <c r="R65" s="698"/>
      <c r="S65" s="698"/>
      <c r="T65" s="698"/>
      <c r="U65" s="698"/>
      <c r="V65" s="698"/>
      <c r="W65" s="698"/>
      <c r="X65" s="698"/>
      <c r="Y65" s="698"/>
      <c r="Z65" s="698"/>
      <c r="AA65" s="698"/>
      <c r="AB65" s="698"/>
      <c r="AC65" s="698"/>
      <c r="AD65" s="698"/>
      <c r="AE65" s="698"/>
      <c r="AF65" s="698"/>
      <c r="AG65" s="698"/>
      <c r="AH65" s="698"/>
      <c r="AI65" s="664"/>
      <c r="AJ65" s="664"/>
      <c r="AK65" s="664"/>
      <c r="AL65" s="8"/>
      <c r="AM65" s="691">
        <f>Simulatore!R9</f>
        <v>6418.59539082288</v>
      </c>
      <c r="AN65" s="664"/>
      <c r="AO65" s="664"/>
      <c r="AP65" s="664"/>
      <c r="AQ65" s="664"/>
      <c r="AR65" s="664"/>
      <c r="AS65" s="664"/>
      <c r="AT65" s="664"/>
      <c r="AU65" s="8"/>
      <c r="AV65" s="691"/>
      <c r="AW65" s="664"/>
      <c r="AX65" s="664"/>
      <c r="AY65" s="664"/>
      <c r="AZ65" s="664"/>
      <c r="BA65" s="664"/>
      <c r="BB65" s="664"/>
      <c r="BC65" s="664"/>
      <c r="BD65" s="8"/>
      <c r="BE65" s="8"/>
      <c r="BF65" s="657"/>
      <c r="BG65" s="657"/>
      <c r="BH65" s="657"/>
      <c r="BI65" s="657"/>
      <c r="BJ65" s="657"/>
      <c r="BK65" s="657"/>
      <c r="BL65" s="657"/>
      <c r="BM65" s="657"/>
      <c r="BN65" s="657"/>
      <c r="BO65" s="657"/>
      <c r="BP65" s="657"/>
      <c r="BQ65" s="657"/>
      <c r="BR65" s="657"/>
      <c r="BS65" s="657"/>
      <c r="BT65" s="657"/>
      <c r="BU65" s="664"/>
      <c r="BV65" s="664"/>
      <c r="BW65" s="664"/>
      <c r="BX65" s="664"/>
      <c r="BY65" s="664"/>
      <c r="BZ65" s="664"/>
      <c r="CA65" s="664"/>
      <c r="CD65" s="267" t="str">
        <f>"- Gli interventi di risparmio energetico, in assieme, portano ad una autonomia del "&amp;CI62&amp;"% sul fabbisogno energetico."</f>
        <v>- Gli interventi di risparmio energetico, in assieme, portano ad una autonomia del 32,7% sul fabbisogno energetico.</v>
      </c>
    </row>
    <row r="66" spans="1:82" s="3" customFormat="1" ht="16.5" customHeight="1">
      <c r="A66" s="3">
        <v>1</v>
      </c>
      <c r="B66" s="698" t="str">
        <f>Simulatore!M10</f>
        <v>Costo MANUTENZIONE (assicurazione,  ecc.)</v>
      </c>
      <c r="C66" s="698"/>
      <c r="D66" s="698"/>
      <c r="E66" s="698"/>
      <c r="F66" s="698"/>
      <c r="G66" s="698"/>
      <c r="H66" s="698"/>
      <c r="I66" s="698"/>
      <c r="J66" s="698"/>
      <c r="K66" s="698"/>
      <c r="L66" s="698"/>
      <c r="M66" s="698"/>
      <c r="N66" s="698"/>
      <c r="O66" s="698"/>
      <c r="P66" s="698"/>
      <c r="Q66" s="698"/>
      <c r="R66" s="698"/>
      <c r="S66" s="698"/>
      <c r="T66" s="698"/>
      <c r="U66" s="698"/>
      <c r="V66" s="698"/>
      <c r="W66" s="698"/>
      <c r="X66" s="698"/>
      <c r="Y66" s="698"/>
      <c r="Z66" s="698"/>
      <c r="AA66" s="698"/>
      <c r="AB66" s="698"/>
      <c r="AC66" s="698"/>
      <c r="AD66" s="698"/>
      <c r="AE66" s="698"/>
      <c r="AF66" s="698"/>
      <c r="AG66" s="698"/>
      <c r="AH66" s="698"/>
      <c r="AI66" s="664"/>
      <c r="AJ66" s="664"/>
      <c r="AK66" s="664"/>
      <c r="AL66" s="8"/>
      <c r="AM66" s="691">
        <f>Simulatore!R10</f>
        <v>5826.6294631171695</v>
      </c>
      <c r="AN66" s="664"/>
      <c r="AO66" s="664"/>
      <c r="AP66" s="664"/>
      <c r="AQ66" s="664"/>
      <c r="AR66" s="664"/>
      <c r="AS66" s="664"/>
      <c r="AT66" s="664"/>
      <c r="AU66" s="8"/>
      <c r="AV66" s="691"/>
      <c r="AW66" s="664"/>
      <c r="AX66" s="664"/>
      <c r="AY66" s="664"/>
      <c r="AZ66" s="664"/>
      <c r="BA66" s="664"/>
      <c r="BB66" s="664"/>
      <c r="BC66" s="664"/>
      <c r="BD66" s="8"/>
      <c r="BE66" s="8"/>
      <c r="BF66" s="657"/>
      <c r="BG66" s="657"/>
      <c r="BH66" s="657"/>
      <c r="BI66" s="657"/>
      <c r="BJ66" s="657"/>
      <c r="BK66" s="657"/>
      <c r="BL66" s="657"/>
      <c r="BM66" s="657"/>
      <c r="BN66" s="657"/>
      <c r="BO66" s="657"/>
      <c r="BP66" s="657"/>
      <c r="BQ66" s="657"/>
      <c r="BR66" s="657"/>
      <c r="BS66" s="657"/>
      <c r="BT66" s="657"/>
      <c r="BU66" s="664"/>
      <c r="BV66" s="664"/>
      <c r="BW66" s="664"/>
      <c r="BX66" s="664"/>
      <c r="BY66" s="664"/>
      <c r="BZ66" s="664"/>
      <c r="CA66" s="664"/>
      <c r="CD66" s="3" t="e">
        <f>"- Con gli investimenti ipotizzati, il costo della bolletta dell'energia elettrica viene coperta al "&amp;CF63&amp;"% dai guadagni in "&amp;CF120&amp;" anni, il rimanente guadagno va a ridurre di "&amp;CG62&amp;".000 euro i costi di riscaldamento. Il costo totale della bolletta energetica (energia elettrica + riscaldamento) si riduce del "&amp;CH62&amp;"%.  "</f>
        <v>#NUM!</v>
      </c>
    </row>
    <row r="67" spans="1:82" s="3" customFormat="1" ht="16.5" customHeight="1">
      <c r="A67" s="3">
        <v>1</v>
      </c>
      <c r="B67" s="698" t="str">
        <f>Simulatore!M14</f>
        <v>Risparmi SGRAVI FISCALI</v>
      </c>
      <c r="C67" s="698"/>
      <c r="D67" s="698"/>
      <c r="E67" s="698"/>
      <c r="F67" s="698"/>
      <c r="G67" s="698"/>
      <c r="H67" s="698"/>
      <c r="I67" s="698"/>
      <c r="J67" s="698"/>
      <c r="K67" s="698"/>
      <c r="L67" s="698"/>
      <c r="M67" s="698"/>
      <c r="N67" s="698"/>
      <c r="O67" s="698"/>
      <c r="P67" s="698"/>
      <c r="Q67" s="698"/>
      <c r="R67" s="698"/>
      <c r="S67" s="698"/>
      <c r="T67" s="698"/>
      <c r="U67" s="698"/>
      <c r="V67" s="698"/>
      <c r="W67" s="698"/>
      <c r="X67" s="698"/>
      <c r="Y67" s="698"/>
      <c r="Z67" s="698"/>
      <c r="AA67" s="698"/>
      <c r="AB67" s="698"/>
      <c r="AC67" s="698"/>
      <c r="AD67" s="698"/>
      <c r="AE67" s="698"/>
      <c r="AF67" s="698"/>
      <c r="AG67" s="698"/>
      <c r="AH67" s="698"/>
      <c r="AI67" s="664"/>
      <c r="AJ67" s="664"/>
      <c r="AK67" s="664"/>
      <c r="AL67" s="8"/>
      <c r="AM67" s="691"/>
      <c r="AN67" s="664"/>
      <c r="AO67" s="664"/>
      <c r="AP67" s="664"/>
      <c r="AQ67" s="664"/>
      <c r="AR67" s="664"/>
      <c r="AS67" s="664"/>
      <c r="AT67" s="664"/>
      <c r="AU67" s="8"/>
      <c r="AV67" s="691">
        <f>Simulatore!R14</f>
        <v>6920.321576338398</v>
      </c>
      <c r="AW67" s="664"/>
      <c r="AX67" s="664"/>
      <c r="AY67" s="664"/>
      <c r="AZ67" s="664"/>
      <c r="BA67" s="664"/>
      <c r="BB67" s="664"/>
      <c r="BC67" s="664"/>
      <c r="BD67" s="8"/>
      <c r="BE67" s="8"/>
      <c r="BF67" s="696" t="s">
        <v>809</v>
      </c>
      <c r="BG67" s="657"/>
      <c r="BH67" s="657"/>
      <c r="BI67" s="657"/>
      <c r="BJ67" s="657"/>
      <c r="BK67" s="657"/>
      <c r="BL67" s="657"/>
      <c r="BM67" s="657"/>
      <c r="BN67" s="657"/>
      <c r="BO67" s="657"/>
      <c r="BP67" s="657"/>
      <c r="BQ67" s="657"/>
      <c r="BR67" s="657"/>
      <c r="BS67" s="657"/>
      <c r="BT67" s="657"/>
      <c r="BU67" s="657"/>
      <c r="BV67" s="731">
        <f>Simulatore!R24</f>
        <v>0.18452172879743256</v>
      </c>
      <c r="BW67" s="731"/>
      <c r="BX67" s="731"/>
      <c r="BY67" s="731"/>
      <c r="BZ67" s="731"/>
      <c r="CA67" s="731"/>
      <c r="CD67" s="3" t="str">
        <f>"- Con gli investimenti ipotizzati, il costo della bolletta dell'energia elettrica viene coperta al "&amp;CF63&amp;"% dai guadagni in "&amp;CF120&amp;" anni. Il costo totale della bolletta energetica (energia elettrica + riscaldamento) si riduce del "&amp;CH62&amp;"%.  "</f>
        <v>- Con gli investimenti ipotizzati, il costo della bolletta dell'energia elettrica viene coperta al 63% dai guadagni in 20 anni. Il costo totale della bolletta energetica (energia elettrica + riscaldamento) si riduce del 18,4%.  </v>
      </c>
    </row>
    <row r="68" spans="1:82" s="3" customFormat="1" ht="16.5" customHeight="1">
      <c r="A68" s="3">
        <v>1</v>
      </c>
      <c r="B68" s="698" t="str">
        <f>Simulatore!M13</f>
        <v>Entrate INCENTIVI e VENDITA Energia</v>
      </c>
      <c r="C68" s="698"/>
      <c r="D68" s="698"/>
      <c r="E68" s="698"/>
      <c r="F68" s="698"/>
      <c r="G68" s="698"/>
      <c r="H68" s="698"/>
      <c r="I68" s="698"/>
      <c r="J68" s="698"/>
      <c r="K68" s="698"/>
      <c r="L68" s="698"/>
      <c r="M68" s="698"/>
      <c r="N68" s="698"/>
      <c r="O68" s="698"/>
      <c r="P68" s="698"/>
      <c r="Q68" s="698"/>
      <c r="R68" s="698"/>
      <c r="S68" s="698"/>
      <c r="T68" s="698"/>
      <c r="U68" s="698"/>
      <c r="V68" s="698"/>
      <c r="W68" s="698"/>
      <c r="X68" s="698"/>
      <c r="Y68" s="698"/>
      <c r="Z68" s="698"/>
      <c r="AA68" s="698"/>
      <c r="AB68" s="698"/>
      <c r="AC68" s="698"/>
      <c r="AD68" s="698"/>
      <c r="AE68" s="698"/>
      <c r="AF68" s="698"/>
      <c r="AG68" s="698"/>
      <c r="AH68" s="698"/>
      <c r="AI68" s="664"/>
      <c r="AJ68" s="664"/>
      <c r="AK68" s="664"/>
      <c r="AL68" s="8"/>
      <c r="AM68" s="691"/>
      <c r="AN68" s="664"/>
      <c r="AO68" s="664"/>
      <c r="AP68" s="664"/>
      <c r="AQ68" s="664"/>
      <c r="AR68" s="664"/>
      <c r="AS68" s="664"/>
      <c r="AT68" s="664"/>
      <c r="AU68" s="8"/>
      <c r="AV68" s="691">
        <f>Simulatore!R13</f>
        <v>11380.251853889069</v>
      </c>
      <c r="AW68" s="664"/>
      <c r="AX68" s="664"/>
      <c r="AY68" s="664"/>
      <c r="AZ68" s="664"/>
      <c r="BA68" s="664"/>
      <c r="BB68" s="664"/>
      <c r="BC68" s="664"/>
      <c r="BD68" s="8"/>
      <c r="BE68" s="8"/>
      <c r="BF68" s="657"/>
      <c r="BG68" s="657"/>
      <c r="BH68" s="657"/>
      <c r="BI68" s="657"/>
      <c r="BJ68" s="657"/>
      <c r="BK68" s="657"/>
      <c r="BL68" s="657"/>
      <c r="BM68" s="657"/>
      <c r="BN68" s="657"/>
      <c r="BO68" s="657"/>
      <c r="BP68" s="657"/>
      <c r="BQ68" s="657"/>
      <c r="BR68" s="657"/>
      <c r="BS68" s="657"/>
      <c r="BT68" s="657"/>
      <c r="BU68" s="657"/>
      <c r="BV68" s="731"/>
      <c r="BW68" s="731"/>
      <c r="BX68" s="731"/>
      <c r="BY68" s="731"/>
      <c r="BZ68" s="731"/>
      <c r="CA68" s="731"/>
      <c r="CD68" s="267" t="str">
        <f>IF(CG63&lt;=0,CD67,CD66)</f>
        <v>- Con gli investimenti ipotizzati, il costo della bolletta dell'energia elettrica viene coperta al 63% dai guadagni in 20 anni. Il costo totale della bolletta energetica (energia elettrica + riscaldamento) si riduce del 18,4%.  </v>
      </c>
    </row>
    <row r="69" spans="1:79" s="3" customFormat="1" ht="16.5" customHeight="1">
      <c r="A69" s="3">
        <v>1</v>
      </c>
      <c r="B69" s="698" t="s">
        <v>836</v>
      </c>
      <c r="C69" s="698"/>
      <c r="D69" s="698"/>
      <c r="E69" s="698"/>
      <c r="F69" s="698"/>
      <c r="G69" s="698"/>
      <c r="H69" s="698"/>
      <c r="I69" s="698"/>
      <c r="J69" s="698"/>
      <c r="K69" s="698"/>
      <c r="L69" s="698"/>
      <c r="M69" s="698"/>
      <c r="N69" s="698"/>
      <c r="O69" s="698"/>
      <c r="P69" s="698"/>
      <c r="Q69" s="698"/>
      <c r="R69" s="698"/>
      <c r="S69" s="698"/>
      <c r="T69" s="698"/>
      <c r="U69" s="698"/>
      <c r="V69" s="698"/>
      <c r="W69" s="698"/>
      <c r="X69" s="698"/>
      <c r="Y69" s="698"/>
      <c r="Z69" s="698"/>
      <c r="AA69" s="698"/>
      <c r="AB69" s="698"/>
      <c r="AC69" s="698"/>
      <c r="AD69" s="698"/>
      <c r="AE69" s="698"/>
      <c r="AF69" s="698"/>
      <c r="AG69" s="698"/>
      <c r="AH69" s="698"/>
      <c r="AI69" s="664"/>
      <c r="AJ69" s="664"/>
      <c r="AK69" s="664"/>
      <c r="AL69" s="8"/>
      <c r="AM69" s="691"/>
      <c r="AN69" s="664"/>
      <c r="AO69" s="664"/>
      <c r="AP69" s="664"/>
      <c r="AQ69" s="664"/>
      <c r="AR69" s="664"/>
      <c r="AS69" s="664"/>
      <c r="AT69" s="664"/>
      <c r="AU69" s="8"/>
      <c r="AV69" s="691">
        <f>Simulatore!O16-Simulatore!R16</f>
        <v>14067.744949902142</v>
      </c>
      <c r="AW69" s="664"/>
      <c r="AX69" s="664"/>
      <c r="AY69" s="664"/>
      <c r="AZ69" s="664"/>
      <c r="BA69" s="664"/>
      <c r="BB69" s="664"/>
      <c r="BC69" s="664"/>
      <c r="BD69" s="8"/>
      <c r="BE69" s="8"/>
      <c r="BF69" s="696" t="s">
        <v>893</v>
      </c>
      <c r="BG69" s="657"/>
      <c r="BH69" s="657"/>
      <c r="BI69" s="657"/>
      <c r="BJ69" s="657"/>
      <c r="BK69" s="657"/>
      <c r="BL69" s="657"/>
      <c r="BM69" s="657"/>
      <c r="BN69" s="657"/>
      <c r="BO69" s="657"/>
      <c r="BP69" s="657"/>
      <c r="BQ69" s="657"/>
      <c r="BR69" s="657"/>
      <c r="BS69" s="657"/>
      <c r="BT69" s="694">
        <f>Simulatore!O30-Simulatore!R30</f>
        <v>61888</v>
      </c>
      <c r="BU69" s="695"/>
      <c r="BV69" s="695"/>
      <c r="BW69" s="695"/>
      <c r="BX69" s="695"/>
      <c r="BY69" s="695"/>
      <c r="BZ69" s="695"/>
      <c r="CA69" s="695"/>
    </row>
    <row r="70" spans="1:79" s="3" customFormat="1" ht="16.5" customHeight="1">
      <c r="A70" s="3">
        <v>1</v>
      </c>
      <c r="B70" s="698" t="s">
        <v>807</v>
      </c>
      <c r="C70" s="698"/>
      <c r="D70" s="698"/>
      <c r="E70" s="698"/>
      <c r="F70" s="698"/>
      <c r="G70" s="698"/>
      <c r="H70" s="698"/>
      <c r="I70" s="698"/>
      <c r="J70" s="698"/>
      <c r="K70" s="698"/>
      <c r="L70" s="698"/>
      <c r="M70" s="698"/>
      <c r="N70" s="698"/>
      <c r="O70" s="698"/>
      <c r="P70" s="698"/>
      <c r="Q70" s="698"/>
      <c r="R70" s="698"/>
      <c r="S70" s="698"/>
      <c r="T70" s="698"/>
      <c r="U70" s="698"/>
      <c r="V70" s="698"/>
      <c r="W70" s="698"/>
      <c r="X70" s="698"/>
      <c r="Y70" s="698"/>
      <c r="Z70" s="698"/>
      <c r="AA70" s="698"/>
      <c r="AB70" s="698"/>
      <c r="AC70" s="698"/>
      <c r="AD70" s="698"/>
      <c r="AE70" s="698"/>
      <c r="AF70" s="698"/>
      <c r="AG70" s="698"/>
      <c r="AH70" s="698"/>
      <c r="AI70" s="664"/>
      <c r="AJ70" s="664"/>
      <c r="AK70" s="664"/>
      <c r="AL70" s="8"/>
      <c r="AM70" s="691"/>
      <c r="AN70" s="664"/>
      <c r="AO70" s="664"/>
      <c r="AP70" s="664"/>
      <c r="AQ70" s="664"/>
      <c r="AR70" s="664"/>
      <c r="AS70" s="664"/>
      <c r="AT70" s="664"/>
      <c r="AU70" s="8"/>
      <c r="AV70" s="691">
        <f>Simulatore!O11-Simulatore!R11+Simulatore!O12-Simulatore!R12</f>
        <v>9085.00883005</v>
      </c>
      <c r="AW70" s="664"/>
      <c r="AX70" s="664"/>
      <c r="AY70" s="664"/>
      <c r="AZ70" s="664"/>
      <c r="BA70" s="664"/>
      <c r="BB70" s="664"/>
      <c r="BC70" s="664"/>
      <c r="BD70" s="8"/>
      <c r="BE70" s="8"/>
      <c r="BF70" s="657"/>
      <c r="BG70" s="657"/>
      <c r="BH70" s="657"/>
      <c r="BI70" s="657"/>
      <c r="BJ70" s="657"/>
      <c r="BK70" s="657"/>
      <c r="BL70" s="657"/>
      <c r="BM70" s="657"/>
      <c r="BN70" s="657"/>
      <c r="BO70" s="657"/>
      <c r="BP70" s="657"/>
      <c r="BQ70" s="657"/>
      <c r="BR70" s="657"/>
      <c r="BS70" s="657"/>
      <c r="BT70" s="695"/>
      <c r="BU70" s="695"/>
      <c r="BV70" s="695"/>
      <c r="BW70" s="695"/>
      <c r="BX70" s="695"/>
      <c r="BY70" s="695"/>
      <c r="BZ70" s="695"/>
      <c r="CA70" s="695"/>
    </row>
    <row r="71" spans="1:79" s="3" customFormat="1" ht="16.5" customHeight="1">
      <c r="A71" s="3">
        <v>1</v>
      </c>
      <c r="B71" s="688" t="s">
        <v>90</v>
      </c>
      <c r="C71" s="688"/>
      <c r="D71" s="688"/>
      <c r="E71" s="688"/>
      <c r="F71" s="688"/>
      <c r="G71" s="688"/>
      <c r="H71" s="688"/>
      <c r="I71" s="688"/>
      <c r="J71" s="688"/>
      <c r="K71" s="688"/>
      <c r="L71" s="688"/>
      <c r="M71" s="688"/>
      <c r="N71" s="688"/>
      <c r="O71" s="688"/>
      <c r="P71" s="688"/>
      <c r="Q71" s="688"/>
      <c r="R71" s="688"/>
      <c r="S71" s="688"/>
      <c r="T71" s="688"/>
      <c r="U71" s="688"/>
      <c r="V71" s="688"/>
      <c r="W71" s="688"/>
      <c r="X71" s="688"/>
      <c r="Y71" s="688"/>
      <c r="Z71" s="688"/>
      <c r="AA71" s="688"/>
      <c r="AB71" s="688"/>
      <c r="AC71" s="688"/>
      <c r="AD71" s="688"/>
      <c r="AE71" s="688"/>
      <c r="AF71" s="688"/>
      <c r="AG71" s="688"/>
      <c r="AH71" s="688"/>
      <c r="AI71" s="689"/>
      <c r="AJ71" s="689"/>
      <c r="AK71" s="689"/>
      <c r="AL71" s="8"/>
      <c r="AM71" s="692">
        <f>SUM(AM64:AM70)</f>
        <v>25835.968006616844</v>
      </c>
      <c r="AN71" s="689"/>
      <c r="AO71" s="689"/>
      <c r="AP71" s="689"/>
      <c r="AQ71" s="689"/>
      <c r="AR71" s="689"/>
      <c r="AS71" s="689"/>
      <c r="AT71" s="689"/>
      <c r="AU71" s="8"/>
      <c r="AV71" s="700">
        <f>SUM(AV63:AV70)</f>
        <v>41453.3272101796</v>
      </c>
      <c r="AW71" s="689"/>
      <c r="AX71" s="689"/>
      <c r="AY71" s="689"/>
      <c r="AZ71" s="689"/>
      <c r="BA71" s="689"/>
      <c r="BB71" s="689"/>
      <c r="BC71" s="689"/>
      <c r="BD71" s="8"/>
      <c r="BE71" s="8"/>
      <c r="BF71" s="696" t="s">
        <v>894</v>
      </c>
      <c r="BG71" s="657"/>
      <c r="BH71" s="657"/>
      <c r="BI71" s="657"/>
      <c r="BJ71" s="657"/>
      <c r="BK71" s="657"/>
      <c r="BL71" s="657"/>
      <c r="BM71" s="657"/>
      <c r="BN71" s="657"/>
      <c r="BO71" s="657"/>
      <c r="BP71" s="657"/>
      <c r="BQ71" s="657"/>
      <c r="BR71" s="657"/>
      <c r="BS71" s="657"/>
      <c r="BT71" s="657"/>
      <c r="BU71" s="657"/>
      <c r="BV71" s="694">
        <f>Simulatore!O31-Simulatore!R31</f>
        <v>4873.6</v>
      </c>
      <c r="BW71" s="694"/>
      <c r="BX71" s="694"/>
      <c r="BY71" s="694"/>
      <c r="BZ71" s="694"/>
      <c r="CA71" s="694"/>
    </row>
    <row r="72" spans="1:79" s="3" customFormat="1" ht="16.5" customHeight="1">
      <c r="A72" s="3">
        <v>1</v>
      </c>
      <c r="B72" s="690" t="str">
        <f>Simulatore!M18</f>
        <v>VANTAGGI ECONOMICI NEI 20 ANNI</v>
      </c>
      <c r="C72" s="690"/>
      <c r="D72" s="690"/>
      <c r="E72" s="690"/>
      <c r="F72" s="690"/>
      <c r="G72" s="690"/>
      <c r="H72" s="690"/>
      <c r="I72" s="690"/>
      <c r="J72" s="690"/>
      <c r="K72" s="690"/>
      <c r="L72" s="690"/>
      <c r="M72" s="690"/>
      <c r="N72" s="690"/>
      <c r="O72" s="690"/>
      <c r="P72" s="690"/>
      <c r="Q72" s="690"/>
      <c r="R72" s="690"/>
      <c r="S72" s="690"/>
      <c r="T72" s="690"/>
      <c r="U72" s="690"/>
      <c r="V72" s="690"/>
      <c r="W72" s="690"/>
      <c r="X72" s="690"/>
      <c r="Y72" s="690"/>
      <c r="Z72" s="690"/>
      <c r="AA72" s="690"/>
      <c r="AB72" s="690"/>
      <c r="AC72" s="690"/>
      <c r="AD72" s="690"/>
      <c r="AE72" s="690"/>
      <c r="AF72" s="690"/>
      <c r="AG72" s="690"/>
      <c r="AH72" s="690"/>
      <c r="AI72" s="690"/>
      <c r="AJ72" s="690"/>
      <c r="AK72" s="690"/>
      <c r="AL72" s="272"/>
      <c r="AM72" s="699">
        <f>AV71-AM71</f>
        <v>15617.359203562759</v>
      </c>
      <c r="AN72" s="699"/>
      <c r="AO72" s="699"/>
      <c r="AP72" s="699"/>
      <c r="AQ72" s="699"/>
      <c r="AR72" s="699"/>
      <c r="AS72" s="699"/>
      <c r="AT72" s="699"/>
      <c r="AU72" s="699"/>
      <c r="AV72" s="699"/>
      <c r="AW72" s="699"/>
      <c r="AX72" s="699"/>
      <c r="AY72" s="699"/>
      <c r="AZ72" s="699"/>
      <c r="BA72" s="699"/>
      <c r="BB72" s="699"/>
      <c r="BC72" s="699"/>
      <c r="BD72" s="272"/>
      <c r="BE72" s="272"/>
      <c r="BF72" s="657"/>
      <c r="BG72" s="657"/>
      <c r="BH72" s="657"/>
      <c r="BI72" s="657"/>
      <c r="BJ72" s="657"/>
      <c r="BK72" s="657"/>
      <c r="BL72" s="657"/>
      <c r="BM72" s="657"/>
      <c r="BN72" s="657"/>
      <c r="BO72" s="657"/>
      <c r="BP72" s="657"/>
      <c r="BQ72" s="657"/>
      <c r="BR72" s="657"/>
      <c r="BS72" s="657"/>
      <c r="BT72" s="657"/>
      <c r="BU72" s="657"/>
      <c r="BV72" s="694"/>
      <c r="BW72" s="694"/>
      <c r="BX72" s="694"/>
      <c r="BY72" s="694"/>
      <c r="BZ72" s="694"/>
      <c r="CA72" s="694"/>
    </row>
    <row r="73" spans="1:72" s="3" customFormat="1" ht="15" customHeight="1">
      <c r="A73" s="3">
        <v>1</v>
      </c>
      <c r="B73" s="272"/>
      <c r="C73" s="272"/>
      <c r="D73" s="272"/>
      <c r="E73" s="272"/>
      <c r="F73" s="272"/>
      <c r="G73" s="272"/>
      <c r="H73" s="272"/>
      <c r="I73" s="272"/>
      <c r="J73" s="272"/>
      <c r="K73" s="272"/>
      <c r="L73" s="272"/>
      <c r="M73" s="272"/>
      <c r="N73" s="272"/>
      <c r="O73" s="272"/>
      <c r="P73" s="272"/>
      <c r="Q73" s="272"/>
      <c r="R73" s="272"/>
      <c r="S73" s="272"/>
      <c r="T73" s="272"/>
      <c r="U73" s="272"/>
      <c r="V73" s="272"/>
      <c r="W73" s="272"/>
      <c r="X73" s="272"/>
      <c r="Y73" s="272"/>
      <c r="Z73" s="272"/>
      <c r="AA73" s="272"/>
      <c r="AB73" s="272"/>
      <c r="AC73" s="272"/>
      <c r="AD73" s="272"/>
      <c r="AE73" s="272"/>
      <c r="AF73" s="272"/>
      <c r="AG73" s="272"/>
      <c r="AH73" s="272"/>
      <c r="AI73" s="272"/>
      <c r="AJ73" s="272"/>
      <c r="AK73" s="272"/>
      <c r="AL73" s="272"/>
      <c r="AM73" s="272"/>
      <c r="AN73" s="272"/>
      <c r="AO73" s="272"/>
      <c r="AP73" s="272"/>
      <c r="AQ73" s="272"/>
      <c r="AR73" s="272"/>
      <c r="AS73" s="272"/>
      <c r="AT73" s="272"/>
      <c r="AU73" s="272"/>
      <c r="AV73" s="272"/>
      <c r="AW73" s="272"/>
      <c r="AX73" s="272"/>
      <c r="AY73" s="272"/>
      <c r="AZ73" s="272"/>
      <c r="BA73" s="272"/>
      <c r="BB73" s="272"/>
      <c r="BC73" s="272"/>
      <c r="BD73" s="272"/>
      <c r="BE73" s="272"/>
      <c r="BF73" s="272"/>
      <c r="BG73" s="272"/>
      <c r="BH73" s="272"/>
      <c r="BI73" s="272"/>
      <c r="BJ73" s="272"/>
      <c r="BK73" s="272"/>
      <c r="BL73" s="272"/>
      <c r="BM73" s="272"/>
      <c r="BN73" s="272"/>
      <c r="BO73" s="272"/>
      <c r="BP73" s="272"/>
      <c r="BQ73" s="272"/>
      <c r="BR73" s="272"/>
      <c r="BS73" s="272"/>
      <c r="BT73" s="272"/>
    </row>
    <row r="74" spans="1:79" s="3" customFormat="1" ht="15">
      <c r="A74" s="3">
        <v>1</v>
      </c>
      <c r="B74" s="272"/>
      <c r="C74" s="702" t="s">
        <v>877</v>
      </c>
      <c r="D74" s="689"/>
      <c r="E74" s="689"/>
      <c r="F74" s="689"/>
      <c r="G74" s="689"/>
      <c r="H74" s="689"/>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row>
    <row r="75" spans="1:80" s="3" customFormat="1" ht="15" customHeight="1">
      <c r="A75" s="3">
        <v>1</v>
      </c>
      <c r="B75" s="8"/>
      <c r="C75" s="656" t="str">
        <f>""&amp;CD64&amp;"
"&amp;CD65&amp;"
"&amp;CD68&amp;""</f>
        <v>- L'energia elettrica prodotta dall'impianto fotovoltaico porta al 100% l'autonomia sul fabbisogno elettrico.
- Gli interventi di risparmio energetico, in assieme, portano ad una autonomia del 32,7% sul fabbisogno energetico.
- Con gli investimenti ipotizzati, il costo della bolletta dell'energia elettrica viene coperta al 63% dai guadagni in 20 anni. Il costo totale della bolletta energetica (energia elettrica + riscaldamento) si riduce del 18,4%.  </v>
      </c>
      <c r="D75" s="656"/>
      <c r="E75" s="656"/>
      <c r="F75" s="656"/>
      <c r="G75" s="656"/>
      <c r="H75" s="656"/>
      <c r="I75" s="656"/>
      <c r="J75" s="656"/>
      <c r="K75" s="656"/>
      <c r="L75" s="656"/>
      <c r="M75" s="656"/>
      <c r="N75" s="656"/>
      <c r="O75" s="656"/>
      <c r="P75" s="656"/>
      <c r="Q75" s="656"/>
      <c r="R75" s="656"/>
      <c r="S75" s="656"/>
      <c r="T75" s="656"/>
      <c r="U75" s="656"/>
      <c r="V75" s="656"/>
      <c r="W75" s="656"/>
      <c r="X75" s="656"/>
      <c r="Y75" s="656"/>
      <c r="Z75" s="656"/>
      <c r="AA75" s="656"/>
      <c r="AB75" s="656"/>
      <c r="AC75" s="656"/>
      <c r="AD75" s="656"/>
      <c r="AE75" s="656"/>
      <c r="AF75" s="656"/>
      <c r="AG75" s="656"/>
      <c r="AH75" s="656"/>
      <c r="AI75" s="656"/>
      <c r="AJ75" s="656"/>
      <c r="AK75" s="656"/>
      <c r="AL75" s="656"/>
      <c r="AM75" s="656"/>
      <c r="AN75" s="656"/>
      <c r="AO75" s="656"/>
      <c r="AP75" s="656"/>
      <c r="AQ75" s="656"/>
      <c r="AR75" s="656"/>
      <c r="AS75" s="656"/>
      <c r="AT75" s="656"/>
      <c r="AU75" s="656"/>
      <c r="AV75" s="656"/>
      <c r="AW75" s="656"/>
      <c r="AX75" s="656"/>
      <c r="AY75" s="656"/>
      <c r="AZ75" s="656"/>
      <c r="BA75" s="656"/>
      <c r="BB75" s="656"/>
      <c r="BC75" s="656"/>
      <c r="BD75" s="656"/>
      <c r="BE75" s="656"/>
      <c r="BF75" s="656"/>
      <c r="BG75" s="656"/>
      <c r="BH75" s="656"/>
      <c r="BI75" s="656"/>
      <c r="BJ75" s="656"/>
      <c r="BK75" s="656"/>
      <c r="BL75" s="656"/>
      <c r="BM75" s="656"/>
      <c r="BN75" s="656"/>
      <c r="BO75" s="656"/>
      <c r="BP75" s="656"/>
      <c r="BQ75" s="656"/>
      <c r="BR75" s="656"/>
      <c r="BS75" s="656"/>
      <c r="BT75" s="656"/>
      <c r="BU75" s="656"/>
      <c r="BV75" s="656"/>
      <c r="BW75" s="656"/>
      <c r="BX75" s="656"/>
      <c r="BY75" s="656"/>
      <c r="BZ75" s="656"/>
      <c r="CA75" s="656"/>
      <c r="CB75" s="8"/>
    </row>
    <row r="76" spans="1:80" s="3" customFormat="1" ht="15.75" customHeight="1">
      <c r="A76" s="3">
        <f>IF(A46=0,1,0)</f>
        <v>0</v>
      </c>
      <c r="B76" s="8"/>
      <c r="C76" s="656"/>
      <c r="D76" s="656"/>
      <c r="E76" s="656"/>
      <c r="F76" s="656"/>
      <c r="G76" s="656"/>
      <c r="H76" s="656"/>
      <c r="I76" s="656"/>
      <c r="J76" s="656"/>
      <c r="K76" s="656"/>
      <c r="L76" s="656"/>
      <c r="M76" s="656"/>
      <c r="N76" s="656"/>
      <c r="O76" s="656"/>
      <c r="P76" s="656"/>
      <c r="Q76" s="656"/>
      <c r="R76" s="656"/>
      <c r="S76" s="656"/>
      <c r="T76" s="656"/>
      <c r="U76" s="656"/>
      <c r="V76" s="656"/>
      <c r="W76" s="656"/>
      <c r="X76" s="656"/>
      <c r="Y76" s="656"/>
      <c r="Z76" s="656"/>
      <c r="AA76" s="656"/>
      <c r="AB76" s="656"/>
      <c r="AC76" s="656"/>
      <c r="AD76" s="656"/>
      <c r="AE76" s="656"/>
      <c r="AF76" s="656"/>
      <c r="AG76" s="656"/>
      <c r="AH76" s="656"/>
      <c r="AI76" s="656"/>
      <c r="AJ76" s="656"/>
      <c r="AK76" s="656"/>
      <c r="AL76" s="656"/>
      <c r="AM76" s="656"/>
      <c r="AN76" s="656"/>
      <c r="AO76" s="656"/>
      <c r="AP76" s="656"/>
      <c r="AQ76" s="656"/>
      <c r="AR76" s="656"/>
      <c r="AS76" s="656"/>
      <c r="AT76" s="656"/>
      <c r="AU76" s="656"/>
      <c r="AV76" s="656"/>
      <c r="AW76" s="656"/>
      <c r="AX76" s="656"/>
      <c r="AY76" s="656"/>
      <c r="AZ76" s="656"/>
      <c r="BA76" s="656"/>
      <c r="BB76" s="656"/>
      <c r="BC76" s="656"/>
      <c r="BD76" s="656"/>
      <c r="BE76" s="656"/>
      <c r="BF76" s="656"/>
      <c r="BG76" s="656"/>
      <c r="BH76" s="656"/>
      <c r="BI76" s="656"/>
      <c r="BJ76" s="656"/>
      <c r="BK76" s="656"/>
      <c r="BL76" s="656"/>
      <c r="BM76" s="656"/>
      <c r="BN76" s="656"/>
      <c r="BO76" s="656"/>
      <c r="BP76" s="656"/>
      <c r="BQ76" s="656"/>
      <c r="BR76" s="656"/>
      <c r="BS76" s="656"/>
      <c r="BT76" s="656"/>
      <c r="BU76" s="656"/>
      <c r="BV76" s="656"/>
      <c r="BW76" s="656"/>
      <c r="BX76" s="656"/>
      <c r="BY76" s="656"/>
      <c r="BZ76" s="656"/>
      <c r="CA76" s="656"/>
      <c r="CB76" s="8"/>
    </row>
    <row r="77" spans="1:80" s="3" customFormat="1" ht="15.75" customHeight="1">
      <c r="A77" s="3">
        <f>IF(A46=0,1,0)</f>
        <v>0</v>
      </c>
      <c r="B77" s="282"/>
      <c r="C77" s="656"/>
      <c r="D77" s="656"/>
      <c r="E77" s="656"/>
      <c r="F77" s="656"/>
      <c r="G77" s="656"/>
      <c r="H77" s="656"/>
      <c r="I77" s="656"/>
      <c r="J77" s="656"/>
      <c r="K77" s="656"/>
      <c r="L77" s="656"/>
      <c r="M77" s="656"/>
      <c r="N77" s="656"/>
      <c r="O77" s="656"/>
      <c r="P77" s="656"/>
      <c r="Q77" s="656"/>
      <c r="R77" s="656"/>
      <c r="S77" s="656"/>
      <c r="T77" s="656"/>
      <c r="U77" s="656"/>
      <c r="V77" s="656"/>
      <c r="W77" s="656"/>
      <c r="X77" s="656"/>
      <c r="Y77" s="656"/>
      <c r="Z77" s="656"/>
      <c r="AA77" s="656"/>
      <c r="AB77" s="656"/>
      <c r="AC77" s="656"/>
      <c r="AD77" s="656"/>
      <c r="AE77" s="656"/>
      <c r="AF77" s="656"/>
      <c r="AG77" s="656"/>
      <c r="AH77" s="656"/>
      <c r="AI77" s="656"/>
      <c r="AJ77" s="656"/>
      <c r="AK77" s="656"/>
      <c r="AL77" s="656"/>
      <c r="AM77" s="656"/>
      <c r="AN77" s="656"/>
      <c r="AO77" s="656"/>
      <c r="AP77" s="656"/>
      <c r="AQ77" s="656"/>
      <c r="AR77" s="656"/>
      <c r="AS77" s="656"/>
      <c r="AT77" s="656"/>
      <c r="AU77" s="656"/>
      <c r="AV77" s="656"/>
      <c r="AW77" s="656"/>
      <c r="AX77" s="656"/>
      <c r="AY77" s="656"/>
      <c r="AZ77" s="656"/>
      <c r="BA77" s="656"/>
      <c r="BB77" s="656"/>
      <c r="BC77" s="656"/>
      <c r="BD77" s="656"/>
      <c r="BE77" s="656"/>
      <c r="BF77" s="656"/>
      <c r="BG77" s="656"/>
      <c r="BH77" s="656"/>
      <c r="BI77" s="656"/>
      <c r="BJ77" s="656"/>
      <c r="BK77" s="656"/>
      <c r="BL77" s="656"/>
      <c r="BM77" s="656"/>
      <c r="BN77" s="656"/>
      <c r="BO77" s="656"/>
      <c r="BP77" s="656"/>
      <c r="BQ77" s="656"/>
      <c r="BR77" s="656"/>
      <c r="BS77" s="656"/>
      <c r="BT77" s="656"/>
      <c r="BU77" s="656"/>
      <c r="BV77" s="656"/>
      <c r="BW77" s="656"/>
      <c r="BX77" s="656"/>
      <c r="BY77" s="656"/>
      <c r="BZ77" s="656"/>
      <c r="CA77" s="656"/>
      <c r="CB77" s="8"/>
    </row>
    <row r="78" spans="1:80" s="3" customFormat="1" ht="15.75" customHeight="1">
      <c r="A78" s="3">
        <f aca="true" t="shared" si="0" ref="A78:A90">IF(A48=0,1,0)</f>
        <v>0</v>
      </c>
      <c r="B78" s="282"/>
      <c r="C78" s="656"/>
      <c r="D78" s="656"/>
      <c r="E78" s="656"/>
      <c r="F78" s="656"/>
      <c r="G78" s="656"/>
      <c r="H78" s="656"/>
      <c r="I78" s="656"/>
      <c r="J78" s="656"/>
      <c r="K78" s="656"/>
      <c r="L78" s="656"/>
      <c r="M78" s="656"/>
      <c r="N78" s="656"/>
      <c r="O78" s="656"/>
      <c r="P78" s="656"/>
      <c r="Q78" s="656"/>
      <c r="R78" s="656"/>
      <c r="S78" s="656"/>
      <c r="T78" s="656"/>
      <c r="U78" s="656"/>
      <c r="V78" s="656"/>
      <c r="W78" s="656"/>
      <c r="X78" s="656"/>
      <c r="Y78" s="656"/>
      <c r="Z78" s="656"/>
      <c r="AA78" s="656"/>
      <c r="AB78" s="656"/>
      <c r="AC78" s="656"/>
      <c r="AD78" s="656"/>
      <c r="AE78" s="656"/>
      <c r="AF78" s="656"/>
      <c r="AG78" s="656"/>
      <c r="AH78" s="656"/>
      <c r="AI78" s="656"/>
      <c r="AJ78" s="656"/>
      <c r="AK78" s="656"/>
      <c r="AL78" s="656"/>
      <c r="AM78" s="656"/>
      <c r="AN78" s="656"/>
      <c r="AO78" s="656"/>
      <c r="AP78" s="656"/>
      <c r="AQ78" s="656"/>
      <c r="AR78" s="656"/>
      <c r="AS78" s="656"/>
      <c r="AT78" s="656"/>
      <c r="AU78" s="656"/>
      <c r="AV78" s="656"/>
      <c r="AW78" s="656"/>
      <c r="AX78" s="656"/>
      <c r="AY78" s="656"/>
      <c r="AZ78" s="656"/>
      <c r="BA78" s="656"/>
      <c r="BB78" s="656"/>
      <c r="BC78" s="656"/>
      <c r="BD78" s="656"/>
      <c r="BE78" s="656"/>
      <c r="BF78" s="656"/>
      <c r="BG78" s="656"/>
      <c r="BH78" s="656"/>
      <c r="BI78" s="656"/>
      <c r="BJ78" s="656"/>
      <c r="BK78" s="656"/>
      <c r="BL78" s="656"/>
      <c r="BM78" s="656"/>
      <c r="BN78" s="656"/>
      <c r="BO78" s="656"/>
      <c r="BP78" s="656"/>
      <c r="BQ78" s="656"/>
      <c r="BR78" s="656"/>
      <c r="BS78" s="656"/>
      <c r="BT78" s="656"/>
      <c r="BU78" s="656"/>
      <c r="BV78" s="656"/>
      <c r="BW78" s="656"/>
      <c r="BX78" s="656"/>
      <c r="BY78" s="656"/>
      <c r="BZ78" s="656"/>
      <c r="CA78" s="656"/>
      <c r="CB78" s="8"/>
    </row>
    <row r="79" spans="1:80" s="3" customFormat="1" ht="15.75" customHeight="1">
      <c r="A79" s="3">
        <f t="shared" si="0"/>
        <v>0</v>
      </c>
      <c r="B79" s="283"/>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656"/>
      <c r="AP79" s="656"/>
      <c r="AQ79" s="656"/>
      <c r="AR79" s="656"/>
      <c r="AS79" s="656"/>
      <c r="AT79" s="656"/>
      <c r="AU79" s="656"/>
      <c r="AV79" s="656"/>
      <c r="AW79" s="656"/>
      <c r="AX79" s="656"/>
      <c r="AY79" s="656"/>
      <c r="AZ79" s="656"/>
      <c r="BA79" s="656"/>
      <c r="BB79" s="656"/>
      <c r="BC79" s="656"/>
      <c r="BD79" s="656"/>
      <c r="BE79" s="656"/>
      <c r="BF79" s="656"/>
      <c r="BG79" s="656"/>
      <c r="BH79" s="656"/>
      <c r="BI79" s="656"/>
      <c r="BJ79" s="656"/>
      <c r="BK79" s="656"/>
      <c r="BL79" s="656"/>
      <c r="BM79" s="656"/>
      <c r="BN79" s="656"/>
      <c r="BO79" s="656"/>
      <c r="BP79" s="656"/>
      <c r="BQ79" s="656"/>
      <c r="BR79" s="656"/>
      <c r="BS79" s="656"/>
      <c r="BT79" s="656"/>
      <c r="BU79" s="656"/>
      <c r="BV79" s="656"/>
      <c r="BW79" s="656"/>
      <c r="BX79" s="656"/>
      <c r="BY79" s="656"/>
      <c r="BZ79" s="656"/>
      <c r="CA79" s="656"/>
      <c r="CB79" s="8"/>
    </row>
    <row r="80" spans="1:80" s="3" customFormat="1" ht="19.5" customHeight="1">
      <c r="A80" s="3">
        <f t="shared" si="0"/>
        <v>1</v>
      </c>
      <c r="B80" s="282"/>
      <c r="C80" s="656"/>
      <c r="D80" s="656"/>
      <c r="E80" s="656"/>
      <c r="F80" s="656"/>
      <c r="G80" s="656"/>
      <c r="H80" s="656"/>
      <c r="I80" s="656"/>
      <c r="J80" s="656"/>
      <c r="K80" s="656"/>
      <c r="L80" s="656"/>
      <c r="M80" s="656"/>
      <c r="N80" s="656"/>
      <c r="O80" s="656"/>
      <c r="P80" s="656"/>
      <c r="Q80" s="656"/>
      <c r="R80" s="656"/>
      <c r="S80" s="656"/>
      <c r="T80" s="656"/>
      <c r="U80" s="656"/>
      <c r="V80" s="656"/>
      <c r="W80" s="656"/>
      <c r="X80" s="656"/>
      <c r="Y80" s="656"/>
      <c r="Z80" s="656"/>
      <c r="AA80" s="656"/>
      <c r="AB80" s="656"/>
      <c r="AC80" s="656"/>
      <c r="AD80" s="656"/>
      <c r="AE80" s="656"/>
      <c r="AF80" s="656"/>
      <c r="AG80" s="656"/>
      <c r="AH80" s="656"/>
      <c r="AI80" s="656"/>
      <c r="AJ80" s="656"/>
      <c r="AK80" s="656"/>
      <c r="AL80" s="656"/>
      <c r="AM80" s="656"/>
      <c r="AN80" s="656"/>
      <c r="AO80" s="656"/>
      <c r="AP80" s="656"/>
      <c r="AQ80" s="656"/>
      <c r="AR80" s="656"/>
      <c r="AS80" s="656"/>
      <c r="AT80" s="656"/>
      <c r="AU80" s="656"/>
      <c r="AV80" s="656"/>
      <c r="AW80" s="656"/>
      <c r="AX80" s="656"/>
      <c r="AY80" s="656"/>
      <c r="AZ80" s="656"/>
      <c r="BA80" s="656"/>
      <c r="BB80" s="656"/>
      <c r="BC80" s="656"/>
      <c r="BD80" s="656"/>
      <c r="BE80" s="656"/>
      <c r="BF80" s="656"/>
      <c r="BG80" s="656"/>
      <c r="BH80" s="656"/>
      <c r="BI80" s="656"/>
      <c r="BJ80" s="656"/>
      <c r="BK80" s="656"/>
      <c r="BL80" s="656"/>
      <c r="BM80" s="656"/>
      <c r="BN80" s="656"/>
      <c r="BO80" s="656"/>
      <c r="BP80" s="656"/>
      <c r="BQ80" s="656"/>
      <c r="BR80" s="656"/>
      <c r="BS80" s="656"/>
      <c r="BT80" s="656"/>
      <c r="BU80" s="656"/>
      <c r="BV80" s="656"/>
      <c r="BW80" s="656"/>
      <c r="BX80" s="656"/>
      <c r="BY80" s="656"/>
      <c r="BZ80" s="656"/>
      <c r="CA80" s="656"/>
      <c r="CB80" s="8"/>
    </row>
    <row r="81" spans="1:80" s="3" customFormat="1" ht="16.5" customHeight="1">
      <c r="A81" s="3">
        <f t="shared" si="0"/>
        <v>1</v>
      </c>
      <c r="B81" s="282"/>
      <c r="C81" s="656"/>
      <c r="D81" s="656"/>
      <c r="E81" s="656"/>
      <c r="F81" s="656"/>
      <c r="G81" s="656"/>
      <c r="H81" s="656"/>
      <c r="I81" s="656"/>
      <c r="J81" s="656"/>
      <c r="K81" s="656"/>
      <c r="L81" s="656"/>
      <c r="M81" s="656"/>
      <c r="N81" s="656"/>
      <c r="O81" s="656"/>
      <c r="P81" s="656"/>
      <c r="Q81" s="656"/>
      <c r="R81" s="656"/>
      <c r="S81" s="656"/>
      <c r="T81" s="656"/>
      <c r="U81" s="656"/>
      <c r="V81" s="656"/>
      <c r="W81" s="656"/>
      <c r="X81" s="656"/>
      <c r="Y81" s="656"/>
      <c r="Z81" s="656"/>
      <c r="AA81" s="656"/>
      <c r="AB81" s="656"/>
      <c r="AC81" s="656"/>
      <c r="AD81" s="656"/>
      <c r="AE81" s="656"/>
      <c r="AF81" s="656"/>
      <c r="AG81" s="656"/>
      <c r="AH81" s="656"/>
      <c r="AI81" s="656"/>
      <c r="AJ81" s="656"/>
      <c r="AK81" s="656"/>
      <c r="AL81" s="656"/>
      <c r="AM81" s="656"/>
      <c r="AN81" s="656"/>
      <c r="AO81" s="656"/>
      <c r="AP81" s="656"/>
      <c r="AQ81" s="656"/>
      <c r="AR81" s="656"/>
      <c r="AS81" s="656"/>
      <c r="AT81" s="656"/>
      <c r="AU81" s="656"/>
      <c r="AV81" s="656"/>
      <c r="AW81" s="656"/>
      <c r="AX81" s="656"/>
      <c r="AY81" s="656"/>
      <c r="AZ81" s="656"/>
      <c r="BA81" s="656"/>
      <c r="BB81" s="656"/>
      <c r="BC81" s="656"/>
      <c r="BD81" s="656"/>
      <c r="BE81" s="656"/>
      <c r="BF81" s="656"/>
      <c r="BG81" s="656"/>
      <c r="BH81" s="656"/>
      <c r="BI81" s="656"/>
      <c r="BJ81" s="656"/>
      <c r="BK81" s="656"/>
      <c r="BL81" s="656"/>
      <c r="BM81" s="656"/>
      <c r="BN81" s="656"/>
      <c r="BO81" s="656"/>
      <c r="BP81" s="656"/>
      <c r="BQ81" s="656"/>
      <c r="BR81" s="656"/>
      <c r="BS81" s="656"/>
      <c r="BT81" s="656"/>
      <c r="BU81" s="656"/>
      <c r="BV81" s="656"/>
      <c r="BW81" s="656"/>
      <c r="BX81" s="656"/>
      <c r="BY81" s="656"/>
      <c r="BZ81" s="656"/>
      <c r="CA81" s="656"/>
      <c r="CB81" s="8"/>
    </row>
    <row r="82" spans="1:80" s="3" customFormat="1" ht="15" customHeight="1">
      <c r="A82" s="3">
        <f t="shared" si="0"/>
        <v>1</v>
      </c>
      <c r="B82" s="284"/>
      <c r="C82" s="656"/>
      <c r="D82" s="656"/>
      <c r="E82" s="656"/>
      <c r="F82" s="656"/>
      <c r="G82" s="656"/>
      <c r="H82" s="656"/>
      <c r="I82" s="656"/>
      <c r="J82" s="656"/>
      <c r="K82" s="656"/>
      <c r="L82" s="656"/>
      <c r="M82" s="656"/>
      <c r="N82" s="656"/>
      <c r="O82" s="656"/>
      <c r="P82" s="656"/>
      <c r="Q82" s="656"/>
      <c r="R82" s="656"/>
      <c r="S82" s="656"/>
      <c r="T82" s="656"/>
      <c r="U82" s="656"/>
      <c r="V82" s="656"/>
      <c r="W82" s="656"/>
      <c r="X82" s="656"/>
      <c r="Y82" s="656"/>
      <c r="Z82" s="656"/>
      <c r="AA82" s="656"/>
      <c r="AB82" s="656"/>
      <c r="AC82" s="656"/>
      <c r="AD82" s="656"/>
      <c r="AE82" s="656"/>
      <c r="AF82" s="656"/>
      <c r="AG82" s="656"/>
      <c r="AH82" s="656"/>
      <c r="AI82" s="656"/>
      <c r="AJ82" s="656"/>
      <c r="AK82" s="656"/>
      <c r="AL82" s="656"/>
      <c r="AM82" s="656"/>
      <c r="AN82" s="656"/>
      <c r="AO82" s="656"/>
      <c r="AP82" s="656"/>
      <c r="AQ82" s="656"/>
      <c r="AR82" s="656"/>
      <c r="AS82" s="656"/>
      <c r="AT82" s="656"/>
      <c r="AU82" s="656"/>
      <c r="AV82" s="656"/>
      <c r="AW82" s="656"/>
      <c r="AX82" s="656"/>
      <c r="AY82" s="656"/>
      <c r="AZ82" s="656"/>
      <c r="BA82" s="656"/>
      <c r="BB82" s="656"/>
      <c r="BC82" s="656"/>
      <c r="BD82" s="656"/>
      <c r="BE82" s="656"/>
      <c r="BF82" s="656"/>
      <c r="BG82" s="656"/>
      <c r="BH82" s="656"/>
      <c r="BI82" s="656"/>
      <c r="BJ82" s="656"/>
      <c r="BK82" s="656"/>
      <c r="BL82" s="656"/>
      <c r="BM82" s="656"/>
      <c r="BN82" s="656"/>
      <c r="BO82" s="656"/>
      <c r="BP82" s="656"/>
      <c r="BQ82" s="656"/>
      <c r="BR82" s="656"/>
      <c r="BS82" s="656"/>
      <c r="BT82" s="656"/>
      <c r="BU82" s="656"/>
      <c r="BV82" s="656"/>
      <c r="BW82" s="656"/>
      <c r="BX82" s="656"/>
      <c r="BY82" s="656"/>
      <c r="BZ82" s="656"/>
      <c r="CA82" s="656"/>
      <c r="CB82" s="8"/>
    </row>
    <row r="83" spans="1:80" s="3" customFormat="1" ht="15" customHeight="1">
      <c r="A83" s="3">
        <f t="shared" si="0"/>
        <v>1</v>
      </c>
      <c r="B83" s="284"/>
      <c r="C83" s="656"/>
      <c r="D83" s="656"/>
      <c r="E83" s="656"/>
      <c r="F83" s="656"/>
      <c r="G83" s="656"/>
      <c r="H83" s="656"/>
      <c r="I83" s="656"/>
      <c r="J83" s="656"/>
      <c r="K83" s="656"/>
      <c r="L83" s="656"/>
      <c r="M83" s="656"/>
      <c r="N83" s="656"/>
      <c r="O83" s="656"/>
      <c r="P83" s="656"/>
      <c r="Q83" s="656"/>
      <c r="R83" s="656"/>
      <c r="S83" s="656"/>
      <c r="T83" s="656"/>
      <c r="U83" s="656"/>
      <c r="V83" s="656"/>
      <c r="W83" s="656"/>
      <c r="X83" s="656"/>
      <c r="Y83" s="656"/>
      <c r="Z83" s="656"/>
      <c r="AA83" s="656"/>
      <c r="AB83" s="656"/>
      <c r="AC83" s="656"/>
      <c r="AD83" s="656"/>
      <c r="AE83" s="656"/>
      <c r="AF83" s="656"/>
      <c r="AG83" s="656"/>
      <c r="AH83" s="656"/>
      <c r="AI83" s="656"/>
      <c r="AJ83" s="656"/>
      <c r="AK83" s="656"/>
      <c r="AL83" s="656"/>
      <c r="AM83" s="656"/>
      <c r="AN83" s="656"/>
      <c r="AO83" s="656"/>
      <c r="AP83" s="656"/>
      <c r="AQ83" s="656"/>
      <c r="AR83" s="656"/>
      <c r="AS83" s="656"/>
      <c r="AT83" s="656"/>
      <c r="AU83" s="656"/>
      <c r="AV83" s="656"/>
      <c r="AW83" s="656"/>
      <c r="AX83" s="656"/>
      <c r="AY83" s="656"/>
      <c r="AZ83" s="656"/>
      <c r="BA83" s="656"/>
      <c r="BB83" s="656"/>
      <c r="BC83" s="656"/>
      <c r="BD83" s="656"/>
      <c r="BE83" s="656"/>
      <c r="BF83" s="656"/>
      <c r="BG83" s="656"/>
      <c r="BH83" s="656"/>
      <c r="BI83" s="656"/>
      <c r="BJ83" s="656"/>
      <c r="BK83" s="656"/>
      <c r="BL83" s="656"/>
      <c r="BM83" s="656"/>
      <c r="BN83" s="656"/>
      <c r="BO83" s="656"/>
      <c r="BP83" s="656"/>
      <c r="BQ83" s="656"/>
      <c r="BR83" s="656"/>
      <c r="BS83" s="656"/>
      <c r="BT83" s="656"/>
      <c r="BU83" s="656"/>
      <c r="BV83" s="656"/>
      <c r="BW83" s="656"/>
      <c r="BX83" s="656"/>
      <c r="BY83" s="656"/>
      <c r="BZ83" s="656"/>
      <c r="CA83" s="656"/>
      <c r="CB83" s="8"/>
    </row>
    <row r="84" spans="1:80" s="3" customFormat="1" ht="15" customHeight="1">
      <c r="A84" s="3">
        <f t="shared" si="0"/>
        <v>1</v>
      </c>
      <c r="B84" s="284"/>
      <c r="C84" s="656"/>
      <c r="D84" s="656"/>
      <c r="E84" s="656"/>
      <c r="F84" s="656"/>
      <c r="G84" s="656"/>
      <c r="H84" s="656"/>
      <c r="I84" s="656"/>
      <c r="J84" s="656"/>
      <c r="K84" s="656"/>
      <c r="L84" s="656"/>
      <c r="M84" s="656"/>
      <c r="N84" s="656"/>
      <c r="O84" s="656"/>
      <c r="P84" s="656"/>
      <c r="Q84" s="656"/>
      <c r="R84" s="656"/>
      <c r="S84" s="656"/>
      <c r="T84" s="656"/>
      <c r="U84" s="656"/>
      <c r="V84" s="656"/>
      <c r="W84" s="656"/>
      <c r="X84" s="656"/>
      <c r="Y84" s="656"/>
      <c r="Z84" s="656"/>
      <c r="AA84" s="656"/>
      <c r="AB84" s="656"/>
      <c r="AC84" s="656"/>
      <c r="AD84" s="656"/>
      <c r="AE84" s="656"/>
      <c r="AF84" s="656"/>
      <c r="AG84" s="656"/>
      <c r="AH84" s="656"/>
      <c r="AI84" s="656"/>
      <c r="AJ84" s="656"/>
      <c r="AK84" s="656"/>
      <c r="AL84" s="656"/>
      <c r="AM84" s="656"/>
      <c r="AN84" s="656"/>
      <c r="AO84" s="656"/>
      <c r="AP84" s="656"/>
      <c r="AQ84" s="656"/>
      <c r="AR84" s="656"/>
      <c r="AS84" s="656"/>
      <c r="AT84" s="656"/>
      <c r="AU84" s="656"/>
      <c r="AV84" s="656"/>
      <c r="AW84" s="656"/>
      <c r="AX84" s="656"/>
      <c r="AY84" s="656"/>
      <c r="AZ84" s="656"/>
      <c r="BA84" s="656"/>
      <c r="BB84" s="656"/>
      <c r="BC84" s="656"/>
      <c r="BD84" s="656"/>
      <c r="BE84" s="656"/>
      <c r="BF84" s="656"/>
      <c r="BG84" s="656"/>
      <c r="BH84" s="656"/>
      <c r="BI84" s="656"/>
      <c r="BJ84" s="656"/>
      <c r="BK84" s="656"/>
      <c r="BL84" s="656"/>
      <c r="BM84" s="656"/>
      <c r="BN84" s="656"/>
      <c r="BO84" s="656"/>
      <c r="BP84" s="656"/>
      <c r="BQ84" s="656"/>
      <c r="BR84" s="656"/>
      <c r="BS84" s="656"/>
      <c r="BT84" s="656"/>
      <c r="BU84" s="656"/>
      <c r="BV84" s="656"/>
      <c r="BW84" s="656"/>
      <c r="BX84" s="656"/>
      <c r="BY84" s="656"/>
      <c r="BZ84" s="656"/>
      <c r="CA84" s="656"/>
      <c r="CB84" s="8"/>
    </row>
    <row r="85" spans="1:80" s="3" customFormat="1" ht="15" customHeight="1">
      <c r="A85" s="3">
        <f t="shared" si="0"/>
        <v>1</v>
      </c>
      <c r="B85" s="284"/>
      <c r="C85" s="656"/>
      <c r="D85" s="656"/>
      <c r="E85" s="656"/>
      <c r="F85" s="656"/>
      <c r="G85" s="656"/>
      <c r="H85" s="656"/>
      <c r="I85" s="656"/>
      <c r="J85" s="656"/>
      <c r="K85" s="656"/>
      <c r="L85" s="656"/>
      <c r="M85" s="656"/>
      <c r="N85" s="656"/>
      <c r="O85" s="656"/>
      <c r="P85" s="656"/>
      <c r="Q85" s="656"/>
      <c r="R85" s="656"/>
      <c r="S85" s="656"/>
      <c r="T85" s="656"/>
      <c r="U85" s="656"/>
      <c r="V85" s="656"/>
      <c r="W85" s="656"/>
      <c r="X85" s="656"/>
      <c r="Y85" s="656"/>
      <c r="Z85" s="656"/>
      <c r="AA85" s="656"/>
      <c r="AB85" s="656"/>
      <c r="AC85" s="656"/>
      <c r="AD85" s="656"/>
      <c r="AE85" s="656"/>
      <c r="AF85" s="656"/>
      <c r="AG85" s="656"/>
      <c r="AH85" s="656"/>
      <c r="AI85" s="656"/>
      <c r="AJ85" s="656"/>
      <c r="AK85" s="656"/>
      <c r="AL85" s="656"/>
      <c r="AM85" s="656"/>
      <c r="AN85" s="656"/>
      <c r="AO85" s="656"/>
      <c r="AP85" s="656"/>
      <c r="AQ85" s="656"/>
      <c r="AR85" s="656"/>
      <c r="AS85" s="656"/>
      <c r="AT85" s="656"/>
      <c r="AU85" s="656"/>
      <c r="AV85" s="656"/>
      <c r="AW85" s="656"/>
      <c r="AX85" s="656"/>
      <c r="AY85" s="656"/>
      <c r="AZ85" s="656"/>
      <c r="BA85" s="656"/>
      <c r="BB85" s="656"/>
      <c r="BC85" s="656"/>
      <c r="BD85" s="656"/>
      <c r="BE85" s="656"/>
      <c r="BF85" s="656"/>
      <c r="BG85" s="656"/>
      <c r="BH85" s="656"/>
      <c r="BI85" s="656"/>
      <c r="BJ85" s="656"/>
      <c r="BK85" s="656"/>
      <c r="BL85" s="656"/>
      <c r="BM85" s="656"/>
      <c r="BN85" s="656"/>
      <c r="BO85" s="656"/>
      <c r="BP85" s="656"/>
      <c r="BQ85" s="656"/>
      <c r="BR85" s="656"/>
      <c r="BS85" s="656"/>
      <c r="BT85" s="656"/>
      <c r="BU85" s="656"/>
      <c r="BV85" s="656"/>
      <c r="BW85" s="656"/>
      <c r="BX85" s="656"/>
      <c r="BY85" s="656"/>
      <c r="BZ85" s="656"/>
      <c r="CA85" s="656"/>
      <c r="CB85" s="8"/>
    </row>
    <row r="86" spans="1:80" s="3" customFormat="1" ht="15" customHeight="1">
      <c r="A86" s="3">
        <f t="shared" si="0"/>
        <v>1</v>
      </c>
      <c r="B86" s="284"/>
      <c r="C86" s="656"/>
      <c r="D86" s="656"/>
      <c r="E86" s="656"/>
      <c r="F86" s="656"/>
      <c r="G86" s="656"/>
      <c r="H86" s="656"/>
      <c r="I86" s="656"/>
      <c r="J86" s="656"/>
      <c r="K86" s="656"/>
      <c r="L86" s="656"/>
      <c r="M86" s="656"/>
      <c r="N86" s="656"/>
      <c r="O86" s="656"/>
      <c r="P86" s="656"/>
      <c r="Q86" s="656"/>
      <c r="R86" s="656"/>
      <c r="S86" s="656"/>
      <c r="T86" s="656"/>
      <c r="U86" s="656"/>
      <c r="V86" s="656"/>
      <c r="W86" s="656"/>
      <c r="X86" s="656"/>
      <c r="Y86" s="656"/>
      <c r="Z86" s="656"/>
      <c r="AA86" s="656"/>
      <c r="AB86" s="656"/>
      <c r="AC86" s="656"/>
      <c r="AD86" s="656"/>
      <c r="AE86" s="656"/>
      <c r="AF86" s="656"/>
      <c r="AG86" s="656"/>
      <c r="AH86" s="656"/>
      <c r="AI86" s="656"/>
      <c r="AJ86" s="656"/>
      <c r="AK86" s="656"/>
      <c r="AL86" s="656"/>
      <c r="AM86" s="656"/>
      <c r="AN86" s="656"/>
      <c r="AO86" s="656"/>
      <c r="AP86" s="656"/>
      <c r="AQ86" s="656"/>
      <c r="AR86" s="656"/>
      <c r="AS86" s="656"/>
      <c r="AT86" s="656"/>
      <c r="AU86" s="656"/>
      <c r="AV86" s="656"/>
      <c r="AW86" s="656"/>
      <c r="AX86" s="656"/>
      <c r="AY86" s="656"/>
      <c r="AZ86" s="656"/>
      <c r="BA86" s="656"/>
      <c r="BB86" s="656"/>
      <c r="BC86" s="656"/>
      <c r="BD86" s="656"/>
      <c r="BE86" s="656"/>
      <c r="BF86" s="656"/>
      <c r="BG86" s="656"/>
      <c r="BH86" s="656"/>
      <c r="BI86" s="656"/>
      <c r="BJ86" s="656"/>
      <c r="BK86" s="656"/>
      <c r="BL86" s="656"/>
      <c r="BM86" s="656"/>
      <c r="BN86" s="656"/>
      <c r="BO86" s="656"/>
      <c r="BP86" s="656"/>
      <c r="BQ86" s="656"/>
      <c r="BR86" s="656"/>
      <c r="BS86" s="656"/>
      <c r="BT86" s="656"/>
      <c r="BU86" s="656"/>
      <c r="BV86" s="656"/>
      <c r="BW86" s="656"/>
      <c r="BX86" s="656"/>
      <c r="BY86" s="656"/>
      <c r="BZ86" s="656"/>
      <c r="CA86" s="656"/>
      <c r="CB86" s="8"/>
    </row>
    <row r="87" spans="1:80" s="3" customFormat="1" ht="15" customHeight="1">
      <c r="A87" s="3">
        <f t="shared" si="0"/>
        <v>1</v>
      </c>
      <c r="B87" s="284"/>
      <c r="C87" s="656"/>
      <c r="D87" s="656"/>
      <c r="E87" s="656"/>
      <c r="F87" s="656"/>
      <c r="G87" s="656"/>
      <c r="H87" s="656"/>
      <c r="I87" s="656"/>
      <c r="J87" s="656"/>
      <c r="K87" s="656"/>
      <c r="L87" s="656"/>
      <c r="M87" s="656"/>
      <c r="N87" s="656"/>
      <c r="O87" s="656"/>
      <c r="P87" s="656"/>
      <c r="Q87" s="656"/>
      <c r="R87" s="656"/>
      <c r="S87" s="656"/>
      <c r="T87" s="656"/>
      <c r="U87" s="656"/>
      <c r="V87" s="656"/>
      <c r="W87" s="656"/>
      <c r="X87" s="656"/>
      <c r="Y87" s="656"/>
      <c r="Z87" s="656"/>
      <c r="AA87" s="656"/>
      <c r="AB87" s="656"/>
      <c r="AC87" s="656"/>
      <c r="AD87" s="656"/>
      <c r="AE87" s="656"/>
      <c r="AF87" s="656"/>
      <c r="AG87" s="656"/>
      <c r="AH87" s="656"/>
      <c r="AI87" s="656"/>
      <c r="AJ87" s="656"/>
      <c r="AK87" s="656"/>
      <c r="AL87" s="656"/>
      <c r="AM87" s="656"/>
      <c r="AN87" s="656"/>
      <c r="AO87" s="656"/>
      <c r="AP87" s="656"/>
      <c r="AQ87" s="656"/>
      <c r="AR87" s="656"/>
      <c r="AS87" s="656"/>
      <c r="AT87" s="656"/>
      <c r="AU87" s="656"/>
      <c r="AV87" s="656"/>
      <c r="AW87" s="656"/>
      <c r="AX87" s="656"/>
      <c r="AY87" s="656"/>
      <c r="AZ87" s="656"/>
      <c r="BA87" s="656"/>
      <c r="BB87" s="656"/>
      <c r="BC87" s="656"/>
      <c r="BD87" s="656"/>
      <c r="BE87" s="656"/>
      <c r="BF87" s="656"/>
      <c r="BG87" s="656"/>
      <c r="BH87" s="656"/>
      <c r="BI87" s="656"/>
      <c r="BJ87" s="656"/>
      <c r="BK87" s="656"/>
      <c r="BL87" s="656"/>
      <c r="BM87" s="656"/>
      <c r="BN87" s="656"/>
      <c r="BO87" s="656"/>
      <c r="BP87" s="656"/>
      <c r="BQ87" s="656"/>
      <c r="BR87" s="656"/>
      <c r="BS87" s="656"/>
      <c r="BT87" s="656"/>
      <c r="BU87" s="656"/>
      <c r="BV87" s="656"/>
      <c r="BW87" s="656"/>
      <c r="BX87" s="656"/>
      <c r="BY87" s="656"/>
      <c r="BZ87" s="656"/>
      <c r="CA87" s="656"/>
      <c r="CB87" s="8"/>
    </row>
    <row r="88" spans="1:80" s="3" customFormat="1" ht="19.5" customHeight="1">
      <c r="A88" s="3">
        <f t="shared" si="0"/>
        <v>1</v>
      </c>
      <c r="B88" s="284"/>
      <c r="C88" s="656"/>
      <c r="D88" s="656"/>
      <c r="E88" s="656"/>
      <c r="F88" s="656"/>
      <c r="G88" s="656"/>
      <c r="H88" s="656"/>
      <c r="I88" s="656"/>
      <c r="J88" s="656"/>
      <c r="K88" s="656"/>
      <c r="L88" s="656"/>
      <c r="M88" s="656"/>
      <c r="N88" s="656"/>
      <c r="O88" s="656"/>
      <c r="P88" s="656"/>
      <c r="Q88" s="656"/>
      <c r="R88" s="656"/>
      <c r="S88" s="656"/>
      <c r="T88" s="656"/>
      <c r="U88" s="656"/>
      <c r="V88" s="656"/>
      <c r="W88" s="656"/>
      <c r="X88" s="656"/>
      <c r="Y88" s="656"/>
      <c r="Z88" s="656"/>
      <c r="AA88" s="656"/>
      <c r="AB88" s="656"/>
      <c r="AC88" s="656"/>
      <c r="AD88" s="656"/>
      <c r="AE88" s="656"/>
      <c r="AF88" s="656"/>
      <c r="AG88" s="656"/>
      <c r="AH88" s="656"/>
      <c r="AI88" s="656"/>
      <c r="AJ88" s="656"/>
      <c r="AK88" s="656"/>
      <c r="AL88" s="656"/>
      <c r="AM88" s="656"/>
      <c r="AN88" s="656"/>
      <c r="AO88" s="656"/>
      <c r="AP88" s="656"/>
      <c r="AQ88" s="656"/>
      <c r="AR88" s="656"/>
      <c r="AS88" s="656"/>
      <c r="AT88" s="656"/>
      <c r="AU88" s="656"/>
      <c r="AV88" s="656"/>
      <c r="AW88" s="656"/>
      <c r="AX88" s="656"/>
      <c r="AY88" s="656"/>
      <c r="AZ88" s="656"/>
      <c r="BA88" s="656"/>
      <c r="BB88" s="656"/>
      <c r="BC88" s="656"/>
      <c r="BD88" s="656"/>
      <c r="BE88" s="656"/>
      <c r="BF88" s="656"/>
      <c r="BG88" s="656"/>
      <c r="BH88" s="656"/>
      <c r="BI88" s="656"/>
      <c r="BJ88" s="656"/>
      <c r="BK88" s="656"/>
      <c r="BL88" s="656"/>
      <c r="BM88" s="656"/>
      <c r="BN88" s="656"/>
      <c r="BO88" s="656"/>
      <c r="BP88" s="656"/>
      <c r="BQ88" s="656"/>
      <c r="BR88" s="656"/>
      <c r="BS88" s="656"/>
      <c r="BT88" s="656"/>
      <c r="BU88" s="656"/>
      <c r="BV88" s="656"/>
      <c r="BW88" s="656"/>
      <c r="BX88" s="656"/>
      <c r="BY88" s="656"/>
      <c r="BZ88" s="656"/>
      <c r="CA88" s="656"/>
      <c r="CB88" s="8"/>
    </row>
    <row r="89" spans="1:80" s="3" customFormat="1" ht="19.5" customHeight="1">
      <c r="A89" s="3">
        <f t="shared" si="0"/>
        <v>1</v>
      </c>
      <c r="B89" s="284"/>
      <c r="C89" s="656"/>
      <c r="D89" s="656"/>
      <c r="E89" s="656"/>
      <c r="F89" s="656"/>
      <c r="G89" s="656"/>
      <c r="H89" s="656"/>
      <c r="I89" s="656"/>
      <c r="J89" s="656"/>
      <c r="K89" s="656"/>
      <c r="L89" s="656"/>
      <c r="M89" s="656"/>
      <c r="N89" s="656"/>
      <c r="O89" s="656"/>
      <c r="P89" s="656"/>
      <c r="Q89" s="656"/>
      <c r="R89" s="656"/>
      <c r="S89" s="656"/>
      <c r="T89" s="656"/>
      <c r="U89" s="656"/>
      <c r="V89" s="656"/>
      <c r="W89" s="656"/>
      <c r="X89" s="656"/>
      <c r="Y89" s="656"/>
      <c r="Z89" s="656"/>
      <c r="AA89" s="656"/>
      <c r="AB89" s="656"/>
      <c r="AC89" s="656"/>
      <c r="AD89" s="656"/>
      <c r="AE89" s="656"/>
      <c r="AF89" s="656"/>
      <c r="AG89" s="656"/>
      <c r="AH89" s="656"/>
      <c r="AI89" s="656"/>
      <c r="AJ89" s="656"/>
      <c r="AK89" s="656"/>
      <c r="AL89" s="656"/>
      <c r="AM89" s="656"/>
      <c r="AN89" s="656"/>
      <c r="AO89" s="656"/>
      <c r="AP89" s="656"/>
      <c r="AQ89" s="656"/>
      <c r="AR89" s="656"/>
      <c r="AS89" s="656"/>
      <c r="AT89" s="656"/>
      <c r="AU89" s="656"/>
      <c r="AV89" s="656"/>
      <c r="AW89" s="656"/>
      <c r="AX89" s="656"/>
      <c r="AY89" s="656"/>
      <c r="AZ89" s="656"/>
      <c r="BA89" s="656"/>
      <c r="BB89" s="656"/>
      <c r="BC89" s="656"/>
      <c r="BD89" s="656"/>
      <c r="BE89" s="656"/>
      <c r="BF89" s="656"/>
      <c r="BG89" s="656"/>
      <c r="BH89" s="656"/>
      <c r="BI89" s="656"/>
      <c r="BJ89" s="656"/>
      <c r="BK89" s="656"/>
      <c r="BL89" s="656"/>
      <c r="BM89" s="656"/>
      <c r="BN89" s="656"/>
      <c r="BO89" s="656"/>
      <c r="BP89" s="656"/>
      <c r="BQ89" s="656"/>
      <c r="BR89" s="656"/>
      <c r="BS89" s="656"/>
      <c r="BT89" s="656"/>
      <c r="BU89" s="656"/>
      <c r="BV89" s="656"/>
      <c r="BW89" s="656"/>
      <c r="BX89" s="656"/>
      <c r="BY89" s="656"/>
      <c r="BZ89" s="656"/>
      <c r="CA89" s="656"/>
      <c r="CB89" s="8"/>
    </row>
    <row r="90" spans="1:80" s="3" customFormat="1" ht="19.5" customHeight="1">
      <c r="A90" s="3">
        <f t="shared" si="0"/>
        <v>1</v>
      </c>
      <c r="B90" s="284"/>
      <c r="C90" s="656"/>
      <c r="D90" s="656"/>
      <c r="E90" s="656"/>
      <c r="F90" s="656"/>
      <c r="G90" s="656"/>
      <c r="H90" s="656"/>
      <c r="I90" s="656"/>
      <c r="J90" s="656"/>
      <c r="K90" s="656"/>
      <c r="L90" s="656"/>
      <c r="M90" s="656"/>
      <c r="N90" s="656"/>
      <c r="O90" s="656"/>
      <c r="P90" s="656"/>
      <c r="Q90" s="656"/>
      <c r="R90" s="656"/>
      <c r="S90" s="656"/>
      <c r="T90" s="656"/>
      <c r="U90" s="656"/>
      <c r="V90" s="656"/>
      <c r="W90" s="656"/>
      <c r="X90" s="656"/>
      <c r="Y90" s="656"/>
      <c r="Z90" s="656"/>
      <c r="AA90" s="656"/>
      <c r="AB90" s="656"/>
      <c r="AC90" s="656"/>
      <c r="AD90" s="656"/>
      <c r="AE90" s="656"/>
      <c r="AF90" s="656"/>
      <c r="AG90" s="656"/>
      <c r="AH90" s="656"/>
      <c r="AI90" s="656"/>
      <c r="AJ90" s="656"/>
      <c r="AK90" s="656"/>
      <c r="AL90" s="656"/>
      <c r="AM90" s="656"/>
      <c r="AN90" s="656"/>
      <c r="AO90" s="656"/>
      <c r="AP90" s="656"/>
      <c r="AQ90" s="656"/>
      <c r="AR90" s="656"/>
      <c r="AS90" s="656"/>
      <c r="AT90" s="656"/>
      <c r="AU90" s="656"/>
      <c r="AV90" s="656"/>
      <c r="AW90" s="656"/>
      <c r="AX90" s="656"/>
      <c r="AY90" s="656"/>
      <c r="AZ90" s="656"/>
      <c r="BA90" s="656"/>
      <c r="BB90" s="656"/>
      <c r="BC90" s="656"/>
      <c r="BD90" s="656"/>
      <c r="BE90" s="656"/>
      <c r="BF90" s="656"/>
      <c r="BG90" s="656"/>
      <c r="BH90" s="656"/>
      <c r="BI90" s="656"/>
      <c r="BJ90" s="656"/>
      <c r="BK90" s="656"/>
      <c r="BL90" s="656"/>
      <c r="BM90" s="656"/>
      <c r="BN90" s="656"/>
      <c r="BO90" s="656"/>
      <c r="BP90" s="656"/>
      <c r="BQ90" s="656"/>
      <c r="BR90" s="656"/>
      <c r="BS90" s="656"/>
      <c r="BT90" s="656"/>
      <c r="BU90" s="656"/>
      <c r="BV90" s="656"/>
      <c r="BW90" s="656"/>
      <c r="BX90" s="656"/>
      <c r="BY90" s="656"/>
      <c r="BZ90" s="656"/>
      <c r="CA90" s="656"/>
      <c r="CB90" s="8"/>
    </row>
    <row r="91" spans="1:80" s="3" customFormat="1" ht="41.25" customHeight="1">
      <c r="A91" s="3">
        <v>1</v>
      </c>
      <c r="B91" s="8"/>
      <c r="C91" s="656"/>
      <c r="D91" s="656"/>
      <c r="E91" s="656"/>
      <c r="F91" s="656"/>
      <c r="G91" s="656"/>
      <c r="H91" s="656"/>
      <c r="I91" s="656"/>
      <c r="J91" s="656"/>
      <c r="K91" s="656"/>
      <c r="L91" s="656"/>
      <c r="M91" s="656"/>
      <c r="N91" s="656"/>
      <c r="O91" s="656"/>
      <c r="P91" s="656"/>
      <c r="Q91" s="656"/>
      <c r="R91" s="656"/>
      <c r="S91" s="656"/>
      <c r="T91" s="656"/>
      <c r="U91" s="656"/>
      <c r="V91" s="656"/>
      <c r="W91" s="656"/>
      <c r="X91" s="656"/>
      <c r="Y91" s="656"/>
      <c r="Z91" s="656"/>
      <c r="AA91" s="656"/>
      <c r="AB91" s="656"/>
      <c r="AC91" s="656"/>
      <c r="AD91" s="656"/>
      <c r="AE91" s="656"/>
      <c r="AF91" s="656"/>
      <c r="AG91" s="656"/>
      <c r="AH91" s="656"/>
      <c r="AI91" s="656"/>
      <c r="AJ91" s="656"/>
      <c r="AK91" s="656"/>
      <c r="AL91" s="656"/>
      <c r="AM91" s="656"/>
      <c r="AN91" s="656"/>
      <c r="AO91" s="656"/>
      <c r="AP91" s="656"/>
      <c r="AQ91" s="656"/>
      <c r="AR91" s="656"/>
      <c r="AS91" s="656"/>
      <c r="AT91" s="656"/>
      <c r="AU91" s="656"/>
      <c r="AV91" s="656"/>
      <c r="AW91" s="656"/>
      <c r="AX91" s="656"/>
      <c r="AY91" s="656"/>
      <c r="AZ91" s="656"/>
      <c r="BA91" s="656"/>
      <c r="BB91" s="656"/>
      <c r="BC91" s="656"/>
      <c r="BD91" s="656"/>
      <c r="BE91" s="656"/>
      <c r="BF91" s="656"/>
      <c r="BG91" s="656"/>
      <c r="BH91" s="656"/>
      <c r="BI91" s="656"/>
      <c r="BJ91" s="656"/>
      <c r="BK91" s="656"/>
      <c r="BL91" s="656"/>
      <c r="BM91" s="656"/>
      <c r="BN91" s="656"/>
      <c r="BO91" s="656"/>
      <c r="BP91" s="656"/>
      <c r="BQ91" s="656"/>
      <c r="BR91" s="656"/>
      <c r="BS91" s="656"/>
      <c r="BT91" s="656"/>
      <c r="BU91" s="656"/>
      <c r="BV91" s="656"/>
      <c r="BW91" s="656"/>
      <c r="BX91" s="656"/>
      <c r="BY91" s="656"/>
      <c r="BZ91" s="656"/>
      <c r="CA91" s="656"/>
      <c r="CB91" s="8"/>
    </row>
    <row r="92" spans="1:79" s="3" customFormat="1" ht="15">
      <c r="A92" s="3">
        <v>1</v>
      </c>
      <c r="B92" s="272"/>
      <c r="C92" s="656"/>
      <c r="D92" s="656"/>
      <c r="E92" s="656"/>
      <c r="F92" s="656"/>
      <c r="G92" s="656"/>
      <c r="H92" s="656"/>
      <c r="I92" s="656"/>
      <c r="J92" s="656"/>
      <c r="K92" s="656"/>
      <c r="L92" s="656"/>
      <c r="M92" s="656"/>
      <c r="N92" s="656"/>
      <c r="O92" s="656"/>
      <c r="P92" s="656"/>
      <c r="Q92" s="656"/>
      <c r="R92" s="656"/>
      <c r="S92" s="656"/>
      <c r="T92" s="656"/>
      <c r="U92" s="656"/>
      <c r="V92" s="656"/>
      <c r="W92" s="656"/>
      <c r="X92" s="656"/>
      <c r="Y92" s="656"/>
      <c r="Z92" s="656"/>
      <c r="AA92" s="656"/>
      <c r="AB92" s="656"/>
      <c r="AC92" s="656"/>
      <c r="AD92" s="656"/>
      <c r="AE92" s="656"/>
      <c r="AF92" s="656"/>
      <c r="AG92" s="656"/>
      <c r="AH92" s="656"/>
      <c r="AI92" s="656"/>
      <c r="AJ92" s="656"/>
      <c r="AK92" s="656"/>
      <c r="AL92" s="656"/>
      <c r="AM92" s="656"/>
      <c r="AN92" s="656"/>
      <c r="AO92" s="656"/>
      <c r="AP92" s="656"/>
      <c r="AQ92" s="656"/>
      <c r="AR92" s="656"/>
      <c r="AS92" s="656"/>
      <c r="AT92" s="656"/>
      <c r="AU92" s="656"/>
      <c r="AV92" s="656"/>
      <c r="AW92" s="656"/>
      <c r="AX92" s="656"/>
      <c r="AY92" s="656"/>
      <c r="AZ92" s="656"/>
      <c r="BA92" s="656"/>
      <c r="BB92" s="656"/>
      <c r="BC92" s="656"/>
      <c r="BD92" s="656"/>
      <c r="BE92" s="656"/>
      <c r="BF92" s="656"/>
      <c r="BG92" s="656"/>
      <c r="BH92" s="656"/>
      <c r="BI92" s="656"/>
      <c r="BJ92" s="656"/>
      <c r="BK92" s="656"/>
      <c r="BL92" s="656"/>
      <c r="BM92" s="656"/>
      <c r="BN92" s="656"/>
      <c r="BO92" s="656"/>
      <c r="BP92" s="656"/>
      <c r="BQ92" s="656"/>
      <c r="BR92" s="656"/>
      <c r="BS92" s="656"/>
      <c r="BT92" s="656"/>
      <c r="BU92" s="656"/>
      <c r="BV92" s="656"/>
      <c r="BW92" s="656"/>
      <c r="BX92" s="656"/>
      <c r="BY92" s="656"/>
      <c r="BZ92" s="656"/>
      <c r="CA92" s="656"/>
    </row>
    <row r="93" spans="1:72" s="3" customFormat="1" ht="15">
      <c r="A93" s="3">
        <v>1</v>
      </c>
      <c r="B93" s="272"/>
      <c r="C93" s="272"/>
      <c r="D93" s="272"/>
      <c r="E93" s="272"/>
      <c r="F93" s="272"/>
      <c r="G93" s="272"/>
      <c r="H93" s="272"/>
      <c r="I93" s="272"/>
      <c r="J93" s="272"/>
      <c r="K93" s="272"/>
      <c r="L93" s="272"/>
      <c r="M93" s="272"/>
      <c r="N93" s="272"/>
      <c r="O93" s="272"/>
      <c r="P93" s="272"/>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2"/>
      <c r="BA93" s="272"/>
      <c r="BB93" s="272"/>
      <c r="BC93" s="272"/>
      <c r="BD93" s="272"/>
      <c r="BE93" s="272"/>
      <c r="BF93" s="272"/>
      <c r="BG93" s="272"/>
      <c r="BH93" s="272"/>
      <c r="BI93" s="272"/>
      <c r="BJ93" s="272"/>
      <c r="BK93" s="272"/>
      <c r="BL93" s="272"/>
      <c r="BM93" s="272"/>
      <c r="BN93" s="272"/>
      <c r="BO93" s="272"/>
      <c r="BP93" s="272"/>
      <c r="BQ93" s="272"/>
      <c r="BR93" s="272"/>
      <c r="BS93" s="272"/>
      <c r="BT93" s="272"/>
    </row>
    <row r="94" spans="1:72" s="3" customFormat="1" ht="15">
      <c r="A94" s="3">
        <v>1</v>
      </c>
      <c r="B94" s="272"/>
      <c r="C94" s="272"/>
      <c r="D94" s="272"/>
      <c r="E94" s="272"/>
      <c r="F94" s="272"/>
      <c r="G94" s="272"/>
      <c r="H94" s="272"/>
      <c r="I94" s="272"/>
      <c r="J94" s="272"/>
      <c r="K94" s="272"/>
      <c r="L94" s="272"/>
      <c r="M94" s="272"/>
      <c r="N94" s="272"/>
      <c r="O94" s="272"/>
      <c r="P94" s="272"/>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2"/>
      <c r="BA94" s="272"/>
      <c r="BB94" s="272"/>
      <c r="BC94" s="272"/>
      <c r="BD94" s="272"/>
      <c r="BE94" s="272"/>
      <c r="BF94" s="272"/>
      <c r="BG94" s="272"/>
      <c r="BH94" s="272"/>
      <c r="BI94" s="272"/>
      <c r="BJ94" s="272"/>
      <c r="BK94" s="272"/>
      <c r="BL94" s="272"/>
      <c r="BM94" s="272"/>
      <c r="BN94" s="272"/>
      <c r="BO94" s="272"/>
      <c r="BP94" s="272"/>
      <c r="BQ94" s="272"/>
      <c r="BR94" s="272"/>
      <c r="BS94" s="272"/>
      <c r="BT94" s="272"/>
    </row>
    <row r="95" spans="1:79" s="3" customFormat="1" ht="19.5" customHeight="1">
      <c r="A95" s="3">
        <v>1</v>
      </c>
      <c r="B95" s="686" t="s">
        <v>895</v>
      </c>
      <c r="C95" s="666"/>
      <c r="D95" s="666"/>
      <c r="E95" s="666"/>
      <c r="F95" s="666"/>
      <c r="G95" s="666"/>
      <c r="H95" s="666"/>
      <c r="I95" s="666"/>
      <c r="J95" s="666"/>
      <c r="K95" s="666"/>
      <c r="L95" s="666"/>
      <c r="M95" s="666"/>
      <c r="N95" s="666"/>
      <c r="O95" s="666"/>
      <c r="P95" s="666"/>
      <c r="Q95" s="666"/>
      <c r="R95" s="666"/>
      <c r="S95" s="666"/>
      <c r="T95" s="666"/>
      <c r="U95" s="666"/>
      <c r="V95" s="666"/>
      <c r="W95" s="666"/>
      <c r="X95" s="666"/>
      <c r="Y95" s="666"/>
      <c r="Z95" s="666"/>
      <c r="AA95" s="666"/>
      <c r="AB95" s="666"/>
      <c r="AC95" s="666"/>
      <c r="AD95" s="666"/>
      <c r="AE95" s="666"/>
      <c r="AF95" s="666"/>
      <c r="AG95" s="666"/>
      <c r="AH95" s="666"/>
      <c r="AI95" s="666"/>
      <c r="AJ95" s="666"/>
      <c r="AK95" s="666"/>
      <c r="AL95" s="666"/>
      <c r="AM95" s="666"/>
      <c r="AN95" s="666"/>
      <c r="AO95" s="666"/>
      <c r="AP95" s="666"/>
      <c r="AQ95" s="666"/>
      <c r="AR95" s="666"/>
      <c r="AS95" s="666"/>
      <c r="AT95" s="666"/>
      <c r="AU95" s="666"/>
      <c r="AV95" s="666"/>
      <c r="AW95" s="666"/>
      <c r="AX95" s="666"/>
      <c r="AY95" s="666"/>
      <c r="AZ95" s="666"/>
      <c r="BA95" s="666"/>
      <c r="BB95" s="666"/>
      <c r="BC95" s="666"/>
      <c r="BD95" s="666"/>
      <c r="BE95" s="666"/>
      <c r="BF95" s="666"/>
      <c r="BG95" s="666"/>
      <c r="BH95" s="666"/>
      <c r="BI95" s="666"/>
      <c r="BJ95" s="666"/>
      <c r="BK95" s="666"/>
      <c r="BL95" s="666"/>
      <c r="BM95" s="666"/>
      <c r="BN95" s="666"/>
      <c r="BO95" s="666"/>
      <c r="BP95" s="666"/>
      <c r="BQ95" s="666"/>
      <c r="BR95" s="666"/>
      <c r="BS95" s="666"/>
      <c r="BT95" s="666"/>
      <c r="BU95" s="664"/>
      <c r="BV95" s="664"/>
      <c r="BW95" s="664"/>
      <c r="BX95" s="664"/>
      <c r="BY95" s="664"/>
      <c r="BZ95" s="664"/>
      <c r="CA95" s="664"/>
    </row>
    <row r="96" spans="1:72" s="3" customFormat="1" ht="15">
      <c r="A96" s="3">
        <v>1</v>
      </c>
      <c r="B96" s="272"/>
      <c r="C96" s="272"/>
      <c r="D96" s="272"/>
      <c r="E96" s="272"/>
      <c r="F96" s="272"/>
      <c r="G96" s="272"/>
      <c r="H96" s="272"/>
      <c r="I96" s="272"/>
      <c r="J96" s="272"/>
      <c r="K96" s="272"/>
      <c r="L96" s="272"/>
      <c r="M96" s="272"/>
      <c r="N96" s="272"/>
      <c r="O96" s="272"/>
      <c r="P96" s="272"/>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2"/>
      <c r="BA96" s="272"/>
      <c r="BB96" s="272"/>
      <c r="BC96" s="272"/>
      <c r="BD96" s="272"/>
      <c r="BE96" s="272"/>
      <c r="BF96" s="272"/>
      <c r="BG96" s="272"/>
      <c r="BH96" s="272"/>
      <c r="BI96" s="272"/>
      <c r="BJ96" s="272"/>
      <c r="BK96" s="272"/>
      <c r="BL96" s="272"/>
      <c r="BM96" s="272"/>
      <c r="BN96" s="272"/>
      <c r="BO96" s="272"/>
      <c r="BP96" s="272"/>
      <c r="BQ96" s="272"/>
      <c r="BR96" s="272"/>
      <c r="BS96" s="272"/>
      <c r="BT96" s="272"/>
    </row>
    <row r="97" spans="1:79" s="3" customFormat="1" ht="71.25" customHeight="1">
      <c r="A97" s="3">
        <v>1</v>
      </c>
      <c r="B97" s="701" t="s">
        <v>811</v>
      </c>
      <c r="C97" s="701"/>
      <c r="D97" s="701"/>
      <c r="E97" s="701"/>
      <c r="F97" s="701"/>
      <c r="G97" s="701"/>
      <c r="H97" s="701"/>
      <c r="I97" s="701"/>
      <c r="J97" s="701"/>
      <c r="K97" s="701"/>
      <c r="L97" s="701"/>
      <c r="M97" s="701"/>
      <c r="N97" s="701"/>
      <c r="O97" s="701"/>
      <c r="P97" s="701"/>
      <c r="Q97" s="701"/>
      <c r="R97" s="701"/>
      <c r="S97" s="701"/>
      <c r="T97" s="701"/>
      <c r="U97" s="701"/>
      <c r="V97" s="701"/>
      <c r="W97" s="701"/>
      <c r="X97" s="701"/>
      <c r="Y97" s="701"/>
      <c r="Z97" s="701"/>
      <c r="AA97" s="701"/>
      <c r="AB97" s="701"/>
      <c r="AC97" s="701"/>
      <c r="AD97" s="701"/>
      <c r="AE97" s="701"/>
      <c r="AF97" s="701"/>
      <c r="AG97" s="701"/>
      <c r="AH97" s="701"/>
      <c r="AI97" s="701"/>
      <c r="AJ97" s="701"/>
      <c r="AK97" s="701"/>
      <c r="AL97" s="701"/>
      <c r="AM97" s="701"/>
      <c r="AN97" s="701"/>
      <c r="AO97" s="701"/>
      <c r="AP97" s="701"/>
      <c r="AQ97" s="701"/>
      <c r="AR97" s="701"/>
      <c r="AS97" s="701"/>
      <c r="AT97" s="701"/>
      <c r="AU97" s="701"/>
      <c r="AV97" s="701"/>
      <c r="AW97" s="701"/>
      <c r="AX97" s="701"/>
      <c r="AY97" s="701"/>
      <c r="AZ97" s="701"/>
      <c r="BA97" s="701"/>
      <c r="BB97" s="701"/>
      <c r="BC97" s="701"/>
      <c r="BD97" s="701"/>
      <c r="BE97" s="701"/>
      <c r="BF97" s="701"/>
      <c r="BG97" s="701"/>
      <c r="BH97" s="701"/>
      <c r="BI97" s="701"/>
      <c r="BJ97" s="701"/>
      <c r="BK97" s="701"/>
      <c r="BL97" s="701"/>
      <c r="BM97" s="701"/>
      <c r="BN97" s="701"/>
      <c r="BO97" s="701"/>
      <c r="BP97" s="701"/>
      <c r="BQ97" s="701"/>
      <c r="BR97" s="701"/>
      <c r="BS97" s="701"/>
      <c r="BT97" s="701"/>
      <c r="BU97" s="657"/>
      <c r="BV97" s="657"/>
      <c r="BW97" s="657"/>
      <c r="BX97" s="657"/>
      <c r="BY97" s="657"/>
      <c r="BZ97" s="657"/>
      <c r="CA97" s="657"/>
    </row>
    <row r="98" spans="1:72" s="3" customFormat="1" ht="15">
      <c r="A98" s="3">
        <v>1</v>
      </c>
      <c r="B98" s="272"/>
      <c r="C98" s="272"/>
      <c r="D98" s="272"/>
      <c r="E98" s="272"/>
      <c r="F98" s="272"/>
      <c r="G98" s="272"/>
      <c r="H98" s="272"/>
      <c r="I98" s="272"/>
      <c r="J98" s="272"/>
      <c r="K98" s="272"/>
      <c r="L98" s="272"/>
      <c r="M98" s="272"/>
      <c r="N98" s="272"/>
      <c r="O98" s="272"/>
      <c r="P98" s="272"/>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2"/>
      <c r="BA98" s="272"/>
      <c r="BB98" s="272"/>
      <c r="BC98" s="272"/>
      <c r="BD98" s="272"/>
      <c r="BE98" s="272"/>
      <c r="BF98" s="272"/>
      <c r="BG98" s="272"/>
      <c r="BH98" s="272"/>
      <c r="BI98" s="272"/>
      <c r="BJ98" s="272"/>
      <c r="BK98" s="272"/>
      <c r="BL98" s="272"/>
      <c r="BM98" s="272"/>
      <c r="BN98" s="272"/>
      <c r="BO98" s="272"/>
      <c r="BP98" s="272"/>
      <c r="BQ98" s="272"/>
      <c r="BR98" s="272"/>
      <c r="BS98" s="272"/>
      <c r="BT98" s="272"/>
    </row>
    <row r="99" spans="1:72" s="3" customFormat="1" ht="15">
      <c r="A99" s="3">
        <v>1</v>
      </c>
      <c r="B99" s="272"/>
      <c r="C99" s="272"/>
      <c r="D99" s="272"/>
      <c r="E99" s="272"/>
      <c r="F99" s="272"/>
      <c r="G99" s="272"/>
      <c r="H99" s="272"/>
      <c r="I99" s="272"/>
      <c r="J99" s="272"/>
      <c r="K99" s="272"/>
      <c r="L99" s="272"/>
      <c r="M99" s="272"/>
      <c r="N99" s="272"/>
      <c r="O99" s="272"/>
      <c r="P99" s="272"/>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2"/>
      <c r="BA99" s="272"/>
      <c r="BB99" s="272"/>
      <c r="BC99" s="272"/>
      <c r="BD99" s="272"/>
      <c r="BE99" s="272"/>
      <c r="BF99" s="272"/>
      <c r="BG99" s="272"/>
      <c r="BH99" s="272"/>
      <c r="BI99" s="272"/>
      <c r="BJ99" s="272"/>
      <c r="BK99" s="272"/>
      <c r="BL99" s="272"/>
      <c r="BM99" s="272"/>
      <c r="BN99" s="272"/>
      <c r="BO99" s="272"/>
      <c r="BP99" s="272"/>
      <c r="BQ99" s="272"/>
      <c r="BR99" s="272"/>
      <c r="BS99" s="272"/>
      <c r="BT99" s="272"/>
    </row>
    <row r="100" spans="1:72" s="3" customFormat="1" ht="15">
      <c r="A100" s="3">
        <v>1</v>
      </c>
      <c r="B100" s="272"/>
      <c r="C100" s="272"/>
      <c r="D100" s="272"/>
      <c r="E100" s="272"/>
      <c r="F100" s="272"/>
      <c r="G100" s="272"/>
      <c r="H100" s="272"/>
      <c r="I100" s="272"/>
      <c r="J100" s="272"/>
      <c r="K100" s="272"/>
      <c r="L100" s="272"/>
      <c r="M100" s="272"/>
      <c r="N100" s="272"/>
      <c r="O100" s="272"/>
      <c r="P100" s="272"/>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2"/>
      <c r="BA100" s="272"/>
      <c r="BB100" s="272"/>
      <c r="BC100" s="272"/>
      <c r="BD100" s="272"/>
      <c r="BE100" s="272"/>
      <c r="BF100" s="272"/>
      <c r="BG100" s="272"/>
      <c r="BH100" s="272"/>
      <c r="BI100" s="272"/>
      <c r="BJ100" s="272"/>
      <c r="BK100" s="272"/>
      <c r="BL100" s="272"/>
      <c r="BM100" s="272"/>
      <c r="BN100" s="272"/>
      <c r="BO100" s="272"/>
      <c r="BP100" s="272"/>
      <c r="BQ100" s="272"/>
      <c r="BR100" s="272"/>
      <c r="BS100" s="272"/>
      <c r="BT100" s="272"/>
    </row>
    <row r="101" spans="1:72" s="3" customFormat="1" ht="21.75" customHeight="1">
      <c r="A101" s="8">
        <v>1</v>
      </c>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row>
    <row r="102" spans="1:72" s="3" customFormat="1" ht="15">
      <c r="A102" s="8">
        <v>1</v>
      </c>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row>
    <row r="103" spans="1:72" s="3" customFormat="1" ht="61.5" customHeight="1">
      <c r="A103" s="8">
        <v>1</v>
      </c>
      <c r="B103" s="171"/>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s="178"/>
      <c r="AM103" s="178"/>
      <c r="AN103" s="178"/>
      <c r="AO103" s="178"/>
      <c r="AP103" s="178"/>
      <c r="AQ103" s="178"/>
      <c r="AR103" s="178"/>
      <c r="AS103" s="178"/>
      <c r="AT103" s="178"/>
      <c r="AU103" s="178"/>
      <c r="AV103" s="178"/>
      <c r="AW103" s="178"/>
      <c r="AX103" s="178"/>
      <c r="AY103" s="178"/>
      <c r="AZ103" s="178"/>
      <c r="BA103" s="178"/>
      <c r="BB103" s="178"/>
      <c r="BC103" s="178"/>
      <c r="BD103" s="178"/>
      <c r="BE103" s="178"/>
      <c r="BF103" s="178"/>
      <c r="BG103" s="178"/>
      <c r="BH103" s="178"/>
      <c r="BI103" s="178"/>
      <c r="BJ103" s="178"/>
      <c r="BK103" s="178"/>
      <c r="BL103" s="178"/>
      <c r="BM103" s="178"/>
      <c r="BN103" s="178"/>
      <c r="BO103" s="178"/>
      <c r="BP103" s="178"/>
      <c r="BQ103" s="178"/>
      <c r="BR103" s="178"/>
      <c r="BS103" s="178"/>
      <c r="BT103" s="178"/>
    </row>
    <row r="104" spans="1:72" s="3" customFormat="1" ht="15.75">
      <c r="A104" s="8">
        <v>1</v>
      </c>
      <c r="B104" s="178"/>
      <c r="C104" s="178"/>
      <c r="D104" s="178"/>
      <c r="E104" s="178"/>
      <c r="F104" s="178"/>
      <c r="G104" s="178"/>
      <c r="H104" s="178"/>
      <c r="I104" s="178"/>
      <c r="J104" s="178"/>
      <c r="K104" s="178"/>
      <c r="L104" s="8"/>
      <c r="M104" s="178"/>
      <c r="N104" s="178"/>
      <c r="O104" s="273"/>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78"/>
      <c r="AL104" s="178"/>
      <c r="AM104" s="178"/>
      <c r="AN104" s="178"/>
      <c r="AO104" s="178"/>
      <c r="AP104" s="8"/>
      <c r="AQ104" s="178"/>
      <c r="AR104" s="273"/>
      <c r="AS104" s="178"/>
      <c r="AT104" s="178"/>
      <c r="AU104" s="178"/>
      <c r="AV104" s="178"/>
      <c r="AW104" s="178"/>
      <c r="AX104" s="178"/>
      <c r="AY104" s="178"/>
      <c r="AZ104" s="178"/>
      <c r="BA104" s="178"/>
      <c r="BB104" s="178"/>
      <c r="BC104" s="178"/>
      <c r="BD104" s="178"/>
      <c r="BE104" s="178"/>
      <c r="BF104" s="178"/>
      <c r="BG104" s="178"/>
      <c r="BH104" s="8"/>
      <c r="BI104" s="8"/>
      <c r="BJ104" s="8"/>
      <c r="BK104" s="273"/>
      <c r="BL104" s="8"/>
      <c r="BM104" s="8"/>
      <c r="BN104" s="8"/>
      <c r="BO104" s="8"/>
      <c r="BP104" s="8"/>
      <c r="BQ104" s="8"/>
      <c r="BR104" s="8"/>
      <c r="BS104" s="8"/>
      <c r="BT104" s="8"/>
    </row>
    <row r="105" spans="1:72" s="3" customFormat="1" ht="15.75">
      <c r="A105" s="8">
        <v>1</v>
      </c>
      <c r="B105" s="8"/>
      <c r="C105" s="8"/>
      <c r="D105" s="8"/>
      <c r="E105" s="8"/>
      <c r="F105" s="8"/>
      <c r="G105" s="8"/>
      <c r="H105" s="8"/>
      <c r="I105" s="8"/>
      <c r="J105" s="8"/>
      <c r="K105" s="8"/>
      <c r="L105" s="8"/>
      <c r="M105" s="8"/>
      <c r="N105" s="178"/>
      <c r="O105" s="178"/>
      <c r="P105" s="178"/>
      <c r="Q105" s="178"/>
      <c r="R105" s="178"/>
      <c r="S105" s="178"/>
      <c r="T105" s="178"/>
      <c r="U105" s="261"/>
      <c r="V105" s="8"/>
      <c r="W105" s="178"/>
      <c r="X105" s="178"/>
      <c r="Y105" s="178"/>
      <c r="Z105" s="178"/>
      <c r="AA105" s="178"/>
      <c r="AB105" s="8"/>
      <c r="AC105" s="178"/>
      <c r="AD105" s="178"/>
      <c r="AE105" s="178"/>
      <c r="AF105" s="8"/>
      <c r="AG105" s="261"/>
      <c r="AH105" s="178"/>
      <c r="AI105" s="178"/>
      <c r="AJ105" s="178"/>
      <c r="AK105" s="8"/>
      <c r="AL105" s="8"/>
      <c r="AM105" s="178"/>
      <c r="AN105" s="178"/>
      <c r="AO105" s="261"/>
      <c r="AP105" s="8"/>
      <c r="AQ105" s="8"/>
      <c r="AR105" s="178"/>
      <c r="AS105" s="178"/>
      <c r="AT105" s="178"/>
      <c r="AU105" s="178"/>
      <c r="AV105" s="8"/>
      <c r="AW105" s="178"/>
      <c r="AX105" s="8"/>
      <c r="AY105" s="178"/>
      <c r="AZ105" s="178"/>
      <c r="BA105" s="261"/>
      <c r="BB105" s="8"/>
      <c r="BC105" s="178"/>
      <c r="BD105" s="178"/>
      <c r="BE105" s="178"/>
      <c r="BF105" s="178"/>
      <c r="BG105" s="178"/>
      <c r="BH105" s="274"/>
      <c r="BI105" s="258"/>
      <c r="BJ105" s="261"/>
      <c r="BK105" s="258"/>
      <c r="BL105" s="275"/>
      <c r="BM105" s="275"/>
      <c r="BN105" s="275"/>
      <c r="BO105" s="275"/>
      <c r="BP105" s="275"/>
      <c r="BQ105" s="275"/>
      <c r="BR105" s="275"/>
      <c r="BS105" s="275"/>
      <c r="BT105" s="275"/>
    </row>
    <row r="106" spans="1:72" s="3" customFormat="1" ht="15.75">
      <c r="A106" s="8">
        <v>1</v>
      </c>
      <c r="B106" s="276"/>
      <c r="C106" s="276"/>
      <c r="D106" s="276"/>
      <c r="E106" s="276"/>
      <c r="F106" s="276"/>
      <c r="G106" s="276"/>
      <c r="H106" s="276"/>
      <c r="I106" s="276"/>
      <c r="J106" s="276"/>
      <c r="K106" s="276"/>
      <c r="L106" s="276"/>
      <c r="M106" s="276"/>
      <c r="N106" s="178"/>
      <c r="O106" s="178"/>
      <c r="P106" s="178"/>
      <c r="Q106" s="178"/>
      <c r="R106" s="178"/>
      <c r="S106" s="178"/>
      <c r="T106" s="178"/>
      <c r="U106" s="178"/>
      <c r="V106" s="276"/>
      <c r="W106" s="276"/>
      <c r="X106" s="276"/>
      <c r="Y106" s="276"/>
      <c r="Z106" s="276"/>
      <c r="AA106" s="276"/>
      <c r="AB106" s="276"/>
      <c r="AC106" s="276"/>
      <c r="AD106" s="276"/>
      <c r="AE106" s="276"/>
      <c r="AF106" s="276"/>
      <c r="AG106" s="178"/>
      <c r="AH106" s="276"/>
      <c r="AI106" s="276"/>
      <c r="AJ106" s="276"/>
      <c r="AK106" s="276"/>
      <c r="AL106" s="276"/>
      <c r="AM106" s="276"/>
      <c r="AN106" s="276"/>
      <c r="AO106" s="276"/>
      <c r="AP106" s="276"/>
      <c r="AQ106" s="276"/>
      <c r="AR106" s="276"/>
      <c r="AS106" s="276"/>
      <c r="AT106" s="276"/>
      <c r="AU106" s="276"/>
      <c r="AV106" s="276"/>
      <c r="AW106" s="276"/>
      <c r="AX106" s="276"/>
      <c r="AY106" s="276"/>
      <c r="AZ106" s="178"/>
      <c r="BA106" s="178"/>
      <c r="BB106" s="276"/>
      <c r="BC106" s="178"/>
      <c r="BD106" s="178"/>
      <c r="BE106" s="178"/>
      <c r="BF106" s="178"/>
      <c r="BG106" s="178"/>
      <c r="BH106" s="178"/>
      <c r="BI106" s="178"/>
      <c r="BJ106" s="178"/>
      <c r="BK106" s="276"/>
      <c r="BL106" s="275"/>
      <c r="BM106" s="275"/>
      <c r="BN106" s="275"/>
      <c r="BO106" s="275"/>
      <c r="BP106" s="275"/>
      <c r="BQ106" s="275"/>
      <c r="BR106" s="275"/>
      <c r="BS106" s="275"/>
      <c r="BT106" s="275"/>
    </row>
    <row r="107" spans="1:99" s="3" customFormat="1" ht="15">
      <c r="A107" s="8">
        <v>1</v>
      </c>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CE107" s="296"/>
      <c r="CF107" s="296"/>
      <c r="CG107" s="296"/>
      <c r="CH107" s="296"/>
      <c r="CI107" s="296"/>
      <c r="CJ107" s="296"/>
      <c r="CK107" s="296"/>
      <c r="CL107" s="296"/>
      <c r="CM107" s="296"/>
      <c r="CN107" s="296"/>
      <c r="CO107" s="296"/>
      <c r="CP107" s="296"/>
      <c r="CQ107" s="296"/>
      <c r="CR107" s="296"/>
      <c r="CS107" s="296"/>
      <c r="CT107" s="296"/>
      <c r="CU107" s="296"/>
    </row>
    <row r="108" spans="1:158" s="3" customFormat="1" ht="15">
      <c r="A108" s="3">
        <v>1</v>
      </c>
      <c r="CE108" s="296"/>
      <c r="CF108" s="297"/>
      <c r="CG108" s="298"/>
      <c r="CH108" s="178">
        <v>1</v>
      </c>
      <c r="CI108" s="296"/>
      <c r="CJ108" s="296"/>
      <c r="CK108" s="296">
        <v>2</v>
      </c>
      <c r="CL108" s="296"/>
      <c r="CM108" s="296"/>
      <c r="CN108" s="296">
        <v>3</v>
      </c>
      <c r="CO108" s="296"/>
      <c r="CP108" s="296"/>
      <c r="CQ108" s="296">
        <v>4</v>
      </c>
      <c r="CR108" s="296"/>
      <c r="CS108" s="296"/>
      <c r="CT108" s="296">
        <v>5</v>
      </c>
      <c r="CU108" s="296"/>
      <c r="CW108" s="3">
        <v>6</v>
      </c>
      <c r="CZ108" s="3">
        <v>7</v>
      </c>
      <c r="DC108" s="3">
        <v>8</v>
      </c>
      <c r="DF108" s="3">
        <v>9</v>
      </c>
      <c r="DI108" s="3">
        <v>10</v>
      </c>
      <c r="DL108" s="3">
        <v>11</v>
      </c>
      <c r="DO108" s="3">
        <v>12</v>
      </c>
      <c r="DR108" s="3">
        <v>13</v>
      </c>
      <c r="DU108" s="3">
        <v>14</v>
      </c>
      <c r="DX108" s="3">
        <v>15</v>
      </c>
      <c r="EA108" s="3">
        <v>16</v>
      </c>
      <c r="ED108" s="3">
        <v>17</v>
      </c>
      <c r="EG108" s="3">
        <v>18</v>
      </c>
      <c r="EJ108" s="3">
        <v>19</v>
      </c>
      <c r="EM108" s="3">
        <v>20</v>
      </c>
      <c r="EP108" s="3">
        <v>21</v>
      </c>
      <c r="ES108" s="3">
        <v>22</v>
      </c>
      <c r="EV108" s="3">
        <v>23</v>
      </c>
      <c r="EY108" s="3">
        <v>24</v>
      </c>
      <c r="FB108" s="3">
        <v>25</v>
      </c>
    </row>
    <row r="109" spans="1:158" s="3" customFormat="1" ht="15">
      <c r="A109" s="3">
        <v>1</v>
      </c>
      <c r="CE109" s="296" t="s">
        <v>793</v>
      </c>
      <c r="CF109" s="299"/>
      <c r="CG109" s="299"/>
      <c r="CH109" s="299">
        <f>DA130</f>
        <v>644.953114094539</v>
      </c>
      <c r="CI109" s="299"/>
      <c r="CJ109" s="299"/>
      <c r="CK109" s="299">
        <f>DA131</f>
        <v>727.7257713471055</v>
      </c>
      <c r="CL109" s="296"/>
      <c r="CM109" s="296"/>
      <c r="CN109" s="299">
        <f>DA132</f>
        <v>815.5802145056076</v>
      </c>
      <c r="CO109" s="296"/>
      <c r="CP109" s="296"/>
      <c r="CQ109" s="299">
        <f>DA133</f>
        <v>908.8265558199079</v>
      </c>
      <c r="CR109" s="296"/>
      <c r="CS109" s="296"/>
      <c r="CT109" s="299">
        <f>DA134</f>
        <v>1007.7937489962811</v>
      </c>
      <c r="CU109" s="296"/>
      <c r="CW109" s="6">
        <f>DA135</f>
        <v>1112.8307303108882</v>
      </c>
      <c r="CZ109" s="6">
        <f>DA136</f>
        <v>1224.3076286758578</v>
      </c>
      <c r="DC109" s="6">
        <f>DA137</f>
        <v>1342.6170488177627</v>
      </c>
      <c r="DF109" s="6">
        <f>DA138</f>
        <v>1468.175431978916</v>
      </c>
      <c r="DI109" s="6">
        <f>DA139</f>
        <v>1601.4244988177084</v>
      </c>
      <c r="DL109" s="6">
        <f>DA140</f>
        <v>2434.864937099783</v>
      </c>
      <c r="DO109" s="6">
        <f>DA141</f>
        <v>2584.9293936337244</v>
      </c>
      <c r="DR109" s="6">
        <f>DA142</f>
        <v>2744.17714053227</v>
      </c>
      <c r="DU109" s="6">
        <f>DA143</f>
        <v>2913.167269031465</v>
      </c>
      <c r="DX109" s="6">
        <f>DA144</f>
        <v>3092.492781640561</v>
      </c>
      <c r="EA109" s="6">
        <f>DA145</f>
        <v>3282.782643462288</v>
      </c>
      <c r="ED109" s="6">
        <f>DA146</f>
        <v>3484.7039573601264</v>
      </c>
      <c r="EG109" s="6">
        <f>DA147</f>
        <v>3698.96427043968</v>
      </c>
      <c r="EJ109" s="6">
        <f>DA148</f>
        <v>3926.3140197609687</v>
      </c>
      <c r="EM109" s="6">
        <f>DA149</f>
        <v>4167.549125675416</v>
      </c>
      <c r="EP109" s="6">
        <f>DA150</f>
        <v>0</v>
      </c>
      <c r="ES109" s="6">
        <f>DA151</f>
        <v>0</v>
      </c>
      <c r="EV109" s="6">
        <f>DA152</f>
        <v>0</v>
      </c>
      <c r="EY109" s="6">
        <f>DA153</f>
        <v>0</v>
      </c>
      <c r="FB109" s="6">
        <f>DA154</f>
        <v>0</v>
      </c>
    </row>
    <row r="110" spans="1:158" s="3" customFormat="1" ht="15">
      <c r="A110" s="3">
        <v>1</v>
      </c>
      <c r="CE110" s="296" t="s">
        <v>189</v>
      </c>
      <c r="CF110" s="299"/>
      <c r="CG110" s="299"/>
      <c r="CH110" s="299">
        <f>W130</f>
        <v>0</v>
      </c>
      <c r="CI110" s="299"/>
      <c r="CJ110" s="299"/>
      <c r="CK110" s="299">
        <f>W131</f>
        <v>100</v>
      </c>
      <c r="CL110" s="296"/>
      <c r="CM110" s="296"/>
      <c r="CN110" s="299">
        <f>W132</f>
        <v>212.18</v>
      </c>
      <c r="CO110" s="296"/>
      <c r="CP110" s="296"/>
      <c r="CQ110" s="299">
        <f>W133</f>
        <v>218.5454</v>
      </c>
      <c r="CR110" s="296"/>
      <c r="CS110" s="296"/>
      <c r="CT110" s="299">
        <f>W134</f>
        <v>225.101762</v>
      </c>
      <c r="CU110" s="296"/>
      <c r="CW110" s="6">
        <f>W135</f>
        <v>231.85481486</v>
      </c>
      <c r="CZ110" s="6">
        <f>W136</f>
        <v>238.8104593058</v>
      </c>
      <c r="DC110" s="6">
        <f>W137</f>
        <v>245.974773084974</v>
      </c>
      <c r="DF110" s="6">
        <f>W138</f>
        <v>253.35401627752324</v>
      </c>
      <c r="DI110" s="6">
        <f>W139</f>
        <v>260.95463676584893</v>
      </c>
      <c r="DL110" s="6">
        <f>W140</f>
        <v>268.78327586882443</v>
      </c>
      <c r="DO110" s="6">
        <f>W141</f>
        <v>276.8467741448892</v>
      </c>
      <c r="DR110" s="6">
        <f>W142</f>
        <v>1043.706742690313</v>
      </c>
      <c r="DU110" s="6">
        <f>W143</f>
        <v>293.7067426903129</v>
      </c>
      <c r="DX110" s="6">
        <f>W144</f>
        <v>302.5179449710223</v>
      </c>
      <c r="EA110" s="6">
        <f>W145</f>
        <v>311.593483320153</v>
      </c>
      <c r="ED110" s="6">
        <f>W146</f>
        <v>320.9412878197576</v>
      </c>
      <c r="EG110" s="6">
        <f>W147</f>
        <v>330.5695264543503</v>
      </c>
      <c r="EJ110" s="6">
        <f>W148</f>
        <v>340.4866122479808</v>
      </c>
      <c r="EM110" s="6">
        <f>W149</f>
        <v>350.7012106154202</v>
      </c>
      <c r="EP110" s="6">
        <f>W150</f>
        <v>0</v>
      </c>
      <c r="ES110" s="6">
        <f>W151</f>
        <v>0</v>
      </c>
      <c r="EV110" s="6">
        <f>W152</f>
        <v>0</v>
      </c>
      <c r="EY110" s="6">
        <f>W153</f>
        <v>0</v>
      </c>
      <c r="FB110" s="6">
        <f>W154</f>
        <v>0</v>
      </c>
    </row>
    <row r="111" spans="1:158" s="3" customFormat="1" ht="15">
      <c r="A111" s="3">
        <v>1</v>
      </c>
      <c r="CE111" s="296" t="s">
        <v>784</v>
      </c>
      <c r="CF111" s="299"/>
      <c r="CG111" s="299"/>
      <c r="CH111" s="299">
        <f>DC130</f>
        <v>1667.4365452916397</v>
      </c>
      <c r="CI111" s="299"/>
      <c r="CJ111" s="299"/>
      <c r="CK111" s="299">
        <f>DC131</f>
        <v>1667.4365452916397</v>
      </c>
      <c r="CL111" s="296"/>
      <c r="CM111" s="296"/>
      <c r="CN111" s="299">
        <f>DC132</f>
        <v>1667.4365452916397</v>
      </c>
      <c r="CO111" s="296"/>
      <c r="CP111" s="296"/>
      <c r="CQ111" s="299">
        <f>DC133</f>
        <v>1667.4365452916397</v>
      </c>
      <c r="CR111" s="296"/>
      <c r="CS111" s="296"/>
      <c r="CT111" s="299">
        <f>DC134</f>
        <v>1667.4365452916397</v>
      </c>
      <c r="CU111" s="296"/>
      <c r="CW111" s="6">
        <f>DC135</f>
        <v>1667.4365452916397</v>
      </c>
      <c r="CZ111" s="6">
        <f>DC136</f>
        <v>1667.4365452916397</v>
      </c>
      <c r="DC111" s="6">
        <f>DC137</f>
        <v>1667.4365452916397</v>
      </c>
      <c r="DF111" s="6">
        <f>DC138</f>
        <v>1667.4365452916397</v>
      </c>
      <c r="DI111" s="6">
        <f>DC139</f>
        <v>1667.4365452916397</v>
      </c>
      <c r="DL111" s="6">
        <f>DC140</f>
        <v>1667.4365452916397</v>
      </c>
      <c r="DO111" s="6">
        <f>DC141</f>
        <v>1667.4365452916397</v>
      </c>
      <c r="DR111" s="6">
        <f>DC142</f>
        <v>0</v>
      </c>
      <c r="DU111" s="6">
        <f>DC143</f>
        <v>0</v>
      </c>
      <c r="DX111" s="6">
        <f>DC144</f>
        <v>0</v>
      </c>
      <c r="EA111" s="6">
        <f>DC145</f>
        <v>0</v>
      </c>
      <c r="ED111" s="6">
        <f>DC146</f>
        <v>0</v>
      </c>
      <c r="EG111" s="6">
        <f>DC147</f>
        <v>0</v>
      </c>
      <c r="EJ111" s="6">
        <f>DC148</f>
        <v>0</v>
      </c>
      <c r="EM111" s="6">
        <f>DC149</f>
        <v>0</v>
      </c>
      <c r="EP111" s="6">
        <f>DC150</f>
        <v>0</v>
      </c>
      <c r="ES111" s="6">
        <f>DC151</f>
        <v>0</v>
      </c>
      <c r="EV111" s="6">
        <f>DC152</f>
        <v>0</v>
      </c>
      <c r="EY111" s="6">
        <f>DC153</f>
        <v>0</v>
      </c>
      <c r="FB111" s="6">
        <f>DC154</f>
        <v>0</v>
      </c>
    </row>
    <row r="112" spans="1:157" s="3" customFormat="1" ht="15">
      <c r="A112" s="3">
        <v>1</v>
      </c>
      <c r="CE112" s="296" t="s">
        <v>794</v>
      </c>
      <c r="CG112" s="299">
        <f>D130</f>
        <v>2379.670881</v>
      </c>
      <c r="CH112" s="299"/>
      <c r="CI112" s="299"/>
      <c r="CJ112" s="299">
        <f>D131</f>
        <v>2514.65442505</v>
      </c>
      <c r="CK112" s="299"/>
      <c r="CL112" s="296"/>
      <c r="CM112" s="299">
        <f>D132</f>
        <v>2657.3471463025003</v>
      </c>
      <c r="CO112" s="296"/>
      <c r="CP112" s="299">
        <f>D133</f>
        <v>2808.1921036176254</v>
      </c>
      <c r="CQ112" s="296"/>
      <c r="CR112" s="296"/>
      <c r="CS112" s="299">
        <f>D134</f>
        <v>2967.657964798507</v>
      </c>
      <c r="CT112" s="296"/>
      <c r="CU112" s="296"/>
      <c r="CV112" s="6">
        <f>D135</f>
        <v>3136.2404943984325</v>
      </c>
      <c r="CY112" s="6">
        <f>D136</f>
        <v>3314.464128359954</v>
      </c>
      <c r="DB112" s="6">
        <f>D137</f>
        <v>3502.8836405740476</v>
      </c>
      <c r="DE112" s="6">
        <f>D138</f>
        <v>3702.0859067466117</v>
      </c>
      <c r="DH112" s="6">
        <f>D139</f>
        <v>3912.691771276436</v>
      </c>
      <c r="DK112" s="6">
        <f>D140</f>
        <v>4135.358023184302</v>
      </c>
      <c r="DN112" s="6">
        <f>D141</f>
        <v>4370.779487488202</v>
      </c>
      <c r="DQ112" s="6">
        <f>D142</f>
        <v>4619.691238795979</v>
      </c>
      <c r="DT112" s="6">
        <f>D143</f>
        <v>4882.870944285147</v>
      </c>
      <c r="DW112" s="6">
        <f>D144</f>
        <v>5161.141343661735</v>
      </c>
      <c r="DZ112" s="6">
        <f>D145</f>
        <v>5455.372874136893</v>
      </c>
      <c r="EC112" s="6">
        <f>D146</f>
        <v>5766.486448933333</v>
      </c>
      <c r="EF112" s="6">
        <f>D147</f>
        <v>6095.456398334972</v>
      </c>
      <c r="EI112" s="6">
        <f>D148</f>
        <v>6443.313582823989</v>
      </c>
      <c r="EL112" s="6">
        <f>D149</f>
        <v>6811.148688411794</v>
      </c>
      <c r="EO112" s="6">
        <f>D150</f>
        <v>0</v>
      </c>
      <c r="ER112" s="6">
        <f>D151</f>
        <v>0</v>
      </c>
      <c r="EU112" s="6">
        <f>D152</f>
        <v>0</v>
      </c>
      <c r="EX112" s="6">
        <f>D153</f>
        <v>0</v>
      </c>
      <c r="FA112" s="6">
        <f>D154</f>
        <v>0</v>
      </c>
    </row>
    <row r="113" spans="1:99" s="3" customFormat="1" ht="15">
      <c r="A113" s="3">
        <v>1</v>
      </c>
      <c r="CE113" s="296"/>
      <c r="CF113" s="299"/>
      <c r="CG113" s="299"/>
      <c r="CH113" s="299"/>
      <c r="CI113" s="299"/>
      <c r="CJ113" s="299"/>
      <c r="CK113" s="299"/>
      <c r="CL113" s="299"/>
      <c r="CM113" s="296"/>
      <c r="CN113" s="296"/>
      <c r="CO113" s="296"/>
      <c r="CP113" s="296"/>
      <c r="CQ113" s="296"/>
      <c r="CR113" s="296"/>
      <c r="CS113" s="296"/>
      <c r="CT113" s="296"/>
      <c r="CU113" s="296"/>
    </row>
    <row r="114" spans="1:99" s="3" customFormat="1" ht="15">
      <c r="A114" s="3">
        <v>1</v>
      </c>
      <c r="CE114" s="296"/>
      <c r="CF114" s="299"/>
      <c r="CG114" s="299"/>
      <c r="CH114" s="299"/>
      <c r="CI114" s="299"/>
      <c r="CJ114" s="299"/>
      <c r="CK114" s="299"/>
      <c r="CL114" s="299"/>
      <c r="CM114" s="296"/>
      <c r="CN114" s="296"/>
      <c r="CO114" s="296"/>
      <c r="CP114" s="296"/>
      <c r="CQ114" s="296"/>
      <c r="CR114" s="296"/>
      <c r="CS114" s="296"/>
      <c r="CT114" s="296"/>
      <c r="CU114" s="296"/>
    </row>
    <row r="115" spans="1:99" s="3" customFormat="1" ht="15">
      <c r="A115" s="3">
        <v>1</v>
      </c>
      <c r="CE115" s="296"/>
      <c r="CF115" s="299"/>
      <c r="CG115" s="299"/>
      <c r="CH115" s="299"/>
      <c r="CI115" s="299"/>
      <c r="CJ115" s="299"/>
      <c r="CK115" s="299"/>
      <c r="CL115" s="299"/>
      <c r="CM115" s="296"/>
      <c r="CN115" s="296"/>
      <c r="CO115" s="296"/>
      <c r="CP115" s="296"/>
      <c r="CQ115" s="296"/>
      <c r="CR115" s="296"/>
      <c r="CS115" s="296"/>
      <c r="CT115" s="296"/>
      <c r="CU115" s="296"/>
    </row>
    <row r="116" spans="1:99" s="3" customFormat="1" ht="15">
      <c r="A116" s="3">
        <v>1</v>
      </c>
      <c r="CI116" s="299"/>
      <c r="CJ116" s="299"/>
      <c r="CK116" s="299"/>
      <c r="CL116" s="299"/>
      <c r="CM116" s="296"/>
      <c r="CN116" s="296"/>
      <c r="CO116" s="296"/>
      <c r="CP116" s="296"/>
      <c r="CQ116" s="296"/>
      <c r="CR116" s="296"/>
      <c r="CS116" s="296"/>
      <c r="CT116" s="296"/>
      <c r="CU116" s="296"/>
    </row>
    <row r="117" spans="1:99" s="3" customFormat="1" ht="66.75" customHeight="1">
      <c r="A117" s="3">
        <v>1</v>
      </c>
      <c r="B117" s="687" t="s">
        <v>812</v>
      </c>
      <c r="C117" s="687"/>
      <c r="D117" s="687"/>
      <c r="E117" s="687"/>
      <c r="F117" s="687"/>
      <c r="G117" s="687"/>
      <c r="H117" s="687"/>
      <c r="I117" s="687"/>
      <c r="J117" s="687"/>
      <c r="K117" s="687"/>
      <c r="L117" s="687"/>
      <c r="M117" s="687"/>
      <c r="N117" s="687"/>
      <c r="O117" s="687"/>
      <c r="P117" s="687"/>
      <c r="Q117" s="687"/>
      <c r="R117" s="687"/>
      <c r="S117" s="687"/>
      <c r="T117" s="687"/>
      <c r="U117" s="687"/>
      <c r="V117" s="687"/>
      <c r="W117" s="687"/>
      <c r="X117" s="687"/>
      <c r="Y117" s="687"/>
      <c r="Z117" s="687"/>
      <c r="AA117" s="687"/>
      <c r="AB117" s="687"/>
      <c r="AC117" s="687"/>
      <c r="AD117" s="687"/>
      <c r="AE117" s="687"/>
      <c r="AF117" s="687"/>
      <c r="AG117" s="687"/>
      <c r="AH117" s="687"/>
      <c r="AI117" s="687"/>
      <c r="AJ117" s="687"/>
      <c r="AK117" s="687"/>
      <c r="AL117" s="687"/>
      <c r="AM117" s="687"/>
      <c r="AN117" s="687"/>
      <c r="AO117" s="687"/>
      <c r="AP117" s="687"/>
      <c r="AQ117" s="687"/>
      <c r="AR117" s="687"/>
      <c r="AS117" s="687"/>
      <c r="AT117" s="687"/>
      <c r="AU117" s="687"/>
      <c r="AV117" s="687"/>
      <c r="AW117" s="687"/>
      <c r="AX117" s="687"/>
      <c r="AY117" s="687"/>
      <c r="AZ117" s="687"/>
      <c r="BA117" s="687"/>
      <c r="BB117" s="687"/>
      <c r="BC117" s="687"/>
      <c r="BD117" s="687"/>
      <c r="BE117" s="687"/>
      <c r="BF117" s="687"/>
      <c r="BG117" s="687"/>
      <c r="BH117" s="687"/>
      <c r="BI117" s="687"/>
      <c r="BJ117" s="687"/>
      <c r="BK117" s="687"/>
      <c r="BL117" s="687"/>
      <c r="BM117" s="687"/>
      <c r="BN117" s="687"/>
      <c r="BO117" s="687"/>
      <c r="BP117" s="687"/>
      <c r="BQ117" s="687"/>
      <c r="BR117" s="687"/>
      <c r="BS117" s="687"/>
      <c r="BT117" s="687"/>
      <c r="BU117" s="657"/>
      <c r="BV117" s="657"/>
      <c r="BW117" s="657"/>
      <c r="BX117" s="657"/>
      <c r="BY117" s="657"/>
      <c r="BZ117" s="657"/>
      <c r="CA117" s="657"/>
      <c r="CH117" s="299"/>
      <c r="CI117" s="299"/>
      <c r="CJ117" s="299"/>
      <c r="CK117" s="299"/>
      <c r="CL117" s="299"/>
      <c r="CN117" s="296"/>
      <c r="CO117" s="296"/>
      <c r="CP117" s="296"/>
      <c r="CQ117" s="296"/>
      <c r="CR117" s="296"/>
      <c r="CS117" s="296"/>
      <c r="CT117" s="296"/>
      <c r="CU117" s="296"/>
    </row>
    <row r="118" spans="1:99" s="3" customFormat="1" ht="17.25" customHeight="1">
      <c r="A118" s="3">
        <v>1</v>
      </c>
      <c r="B118" s="277"/>
      <c r="C118" s="277"/>
      <c r="D118" s="277"/>
      <c r="E118" s="277"/>
      <c r="F118" s="277"/>
      <c r="G118" s="277"/>
      <c r="H118" s="277"/>
      <c r="I118" s="277"/>
      <c r="J118" s="277"/>
      <c r="K118" s="277"/>
      <c r="L118" s="277"/>
      <c r="M118" s="277"/>
      <c r="N118" s="277"/>
      <c r="O118" s="277"/>
      <c r="P118" s="277"/>
      <c r="Q118" s="277"/>
      <c r="R118" s="277"/>
      <c r="S118" s="277"/>
      <c r="T118" s="277"/>
      <c r="U118" s="277"/>
      <c r="V118" s="277"/>
      <c r="W118" s="277"/>
      <c r="X118" s="277"/>
      <c r="Y118" s="277"/>
      <c r="Z118" s="277"/>
      <c r="AA118" s="277"/>
      <c r="AB118" s="277"/>
      <c r="AC118" s="277"/>
      <c r="AD118" s="277"/>
      <c r="AE118" s="277"/>
      <c r="AF118" s="277"/>
      <c r="AG118" s="277"/>
      <c r="AH118" s="277"/>
      <c r="AI118" s="277"/>
      <c r="AJ118" s="277"/>
      <c r="AK118" s="277"/>
      <c r="AL118" s="277"/>
      <c r="AM118" s="277"/>
      <c r="AN118" s="277"/>
      <c r="AO118" s="277"/>
      <c r="AP118" s="277"/>
      <c r="AQ118" s="277"/>
      <c r="AR118" s="277"/>
      <c r="AS118" s="277"/>
      <c r="AT118" s="277"/>
      <c r="AU118" s="277"/>
      <c r="AV118" s="277"/>
      <c r="AW118" s="277"/>
      <c r="AX118" s="277"/>
      <c r="AY118" s="277"/>
      <c r="AZ118" s="277"/>
      <c r="BA118" s="277"/>
      <c r="BB118" s="277"/>
      <c r="BC118" s="277"/>
      <c r="BD118" s="277"/>
      <c r="BE118" s="277"/>
      <c r="BF118" s="277"/>
      <c r="BG118" s="277"/>
      <c r="BH118" s="277"/>
      <c r="BI118" s="277"/>
      <c r="BJ118" s="277"/>
      <c r="BK118" s="277"/>
      <c r="BL118" s="277"/>
      <c r="BM118" s="277"/>
      <c r="BN118" s="277"/>
      <c r="BO118" s="277"/>
      <c r="BP118" s="277"/>
      <c r="BQ118" s="277"/>
      <c r="BR118" s="277"/>
      <c r="BS118" s="277"/>
      <c r="BT118" s="277"/>
      <c r="BU118" s="272"/>
      <c r="BV118" s="272"/>
      <c r="BW118" s="272"/>
      <c r="BX118" s="272"/>
      <c r="BY118" s="272"/>
      <c r="BZ118" s="272"/>
      <c r="CA118" s="272"/>
      <c r="CE118" s="296" t="s">
        <v>785</v>
      </c>
      <c r="CF118" s="3">
        <v>10</v>
      </c>
      <c r="CG118" s="3">
        <f>IF(CG122=CH118,CM125,CG120)</f>
        <v>1</v>
      </c>
      <c r="CH118" s="3">
        <v>0.6</v>
      </c>
      <c r="CL118" s="296"/>
      <c r="CM118" s="296"/>
      <c r="CN118" s="296"/>
      <c r="CO118" s="296"/>
      <c r="CP118" s="296"/>
      <c r="CQ118" s="296"/>
      <c r="CR118" s="296"/>
      <c r="CS118" s="296"/>
      <c r="CT118" s="296"/>
      <c r="CU118" s="296"/>
    </row>
    <row r="119" spans="1:99" s="3" customFormat="1" ht="17.25" customHeight="1">
      <c r="A119" s="3">
        <v>1</v>
      </c>
      <c r="B119" s="277"/>
      <c r="C119" s="677" t="s">
        <v>896</v>
      </c>
      <c r="D119" s="657"/>
      <c r="E119" s="657"/>
      <c r="F119" s="657"/>
      <c r="G119" s="657"/>
      <c r="H119" s="657"/>
      <c r="I119" s="657"/>
      <c r="J119" s="657"/>
      <c r="K119" s="657"/>
      <c r="L119" s="657"/>
      <c r="M119" s="657"/>
      <c r="N119" s="657"/>
      <c r="O119" s="657"/>
      <c r="P119" s="657"/>
      <c r="Q119" s="657"/>
      <c r="R119" s="657"/>
      <c r="S119" s="657"/>
      <c r="T119" s="657"/>
      <c r="U119" s="657"/>
      <c r="V119" s="657"/>
      <c r="W119" s="657"/>
      <c r="X119" s="657"/>
      <c r="Y119" s="657"/>
      <c r="Z119" s="657"/>
      <c r="AA119" s="657"/>
      <c r="AB119" s="657"/>
      <c r="AC119" s="657"/>
      <c r="AD119" s="657"/>
      <c r="AE119" s="657"/>
      <c r="AF119" s="657"/>
      <c r="AG119" s="657"/>
      <c r="AH119" s="657"/>
      <c r="AI119" s="657"/>
      <c r="AJ119" s="657"/>
      <c r="AK119" s="657"/>
      <c r="AL119" s="657"/>
      <c r="AM119" s="657"/>
      <c r="AN119" s="657"/>
      <c r="AO119" s="657"/>
      <c r="AP119" s="657"/>
      <c r="AQ119" s="657"/>
      <c r="AR119" s="657"/>
      <c r="AS119" s="657"/>
      <c r="AT119" s="657"/>
      <c r="AU119" s="657"/>
      <c r="AV119" s="657"/>
      <c r="AW119" s="657"/>
      <c r="AX119" s="657"/>
      <c r="AY119" s="657"/>
      <c r="AZ119" s="657"/>
      <c r="BA119" s="657"/>
      <c r="BB119" s="657"/>
      <c r="BC119" s="657"/>
      <c r="BD119" s="657"/>
      <c r="BE119" s="657"/>
      <c r="BF119" s="657"/>
      <c r="BG119" s="657"/>
      <c r="BH119" s="657"/>
      <c r="BI119" s="657"/>
      <c r="BJ119" s="657"/>
      <c r="BK119" s="657"/>
      <c r="BL119" s="657"/>
      <c r="BM119" s="657"/>
      <c r="BN119" s="657"/>
      <c r="BO119" s="657"/>
      <c r="BP119" s="657"/>
      <c r="BQ119" s="657"/>
      <c r="BR119" s="657"/>
      <c r="BS119" s="657"/>
      <c r="BT119" s="657"/>
      <c r="BU119" s="657"/>
      <c r="BV119" s="657"/>
      <c r="BW119" s="657"/>
      <c r="BX119" s="657"/>
      <c r="BY119" s="657"/>
      <c r="BZ119" s="657"/>
      <c r="CA119" s="657"/>
      <c r="CE119" s="296" t="s">
        <v>788</v>
      </c>
      <c r="CF119" s="300">
        <f>Simulatore!E27</f>
        <v>12</v>
      </c>
      <c r="CG119" s="3">
        <f>CF119*12</f>
        <v>144</v>
      </c>
      <c r="CI119" s="296"/>
      <c r="CJ119" s="296"/>
      <c r="CK119" s="296" t="s">
        <v>796</v>
      </c>
      <c r="CL119" s="296"/>
      <c r="CM119" s="296"/>
      <c r="CN119" s="296">
        <f>CH155-(Simulatore!O11+Simulatore!O12)</f>
        <v>77401.23075615417</v>
      </c>
      <c r="CO119" s="296"/>
      <c r="CP119" s="296"/>
      <c r="CQ119" s="296"/>
      <c r="CR119" s="296"/>
      <c r="CS119" s="296"/>
      <c r="CT119" s="296"/>
      <c r="CU119" s="296"/>
    </row>
    <row r="120" spans="1:99" s="3" customFormat="1" ht="17.25" customHeight="1">
      <c r="A120" s="3">
        <v>1</v>
      </c>
      <c r="B120" s="277"/>
      <c r="C120" s="657"/>
      <c r="D120" s="657"/>
      <c r="E120" s="657"/>
      <c r="F120" s="657"/>
      <c r="G120" s="657"/>
      <c r="H120" s="657"/>
      <c r="I120" s="657"/>
      <c r="J120" s="657"/>
      <c r="K120" s="657"/>
      <c r="L120" s="657"/>
      <c r="M120" s="657"/>
      <c r="N120" s="657"/>
      <c r="O120" s="657"/>
      <c r="P120" s="657"/>
      <c r="Q120" s="657"/>
      <c r="R120" s="657"/>
      <c r="S120" s="657"/>
      <c r="T120" s="657"/>
      <c r="U120" s="657"/>
      <c r="V120" s="657"/>
      <c r="W120" s="657"/>
      <c r="X120" s="657"/>
      <c r="Y120" s="657"/>
      <c r="Z120" s="657"/>
      <c r="AA120" s="657"/>
      <c r="AB120" s="657"/>
      <c r="AC120" s="657"/>
      <c r="AD120" s="657"/>
      <c r="AE120" s="657"/>
      <c r="AF120" s="657"/>
      <c r="AG120" s="657"/>
      <c r="AH120" s="657"/>
      <c r="AI120" s="657"/>
      <c r="AJ120" s="657"/>
      <c r="AK120" s="657"/>
      <c r="AL120" s="657"/>
      <c r="AM120" s="657"/>
      <c r="AN120" s="657"/>
      <c r="AO120" s="657"/>
      <c r="AP120" s="657"/>
      <c r="AQ120" s="657"/>
      <c r="AR120" s="657"/>
      <c r="AS120" s="657"/>
      <c r="AT120" s="657"/>
      <c r="AU120" s="657"/>
      <c r="AV120" s="657"/>
      <c r="AW120" s="657"/>
      <c r="AX120" s="657"/>
      <c r="AY120" s="657"/>
      <c r="AZ120" s="657"/>
      <c r="BA120" s="657"/>
      <c r="BB120" s="657"/>
      <c r="BC120" s="657"/>
      <c r="BD120" s="657"/>
      <c r="BE120" s="657"/>
      <c r="BF120" s="657"/>
      <c r="BG120" s="657"/>
      <c r="BH120" s="657"/>
      <c r="BI120" s="657"/>
      <c r="BJ120" s="657"/>
      <c r="BK120" s="657"/>
      <c r="BL120" s="657"/>
      <c r="BM120" s="657"/>
      <c r="BN120" s="657"/>
      <c r="BO120" s="657"/>
      <c r="BP120" s="657"/>
      <c r="BQ120" s="657"/>
      <c r="BR120" s="657"/>
      <c r="BS120" s="657"/>
      <c r="BT120" s="657"/>
      <c r="BU120" s="657"/>
      <c r="BV120" s="657"/>
      <c r="BW120" s="657"/>
      <c r="BX120" s="657"/>
      <c r="BY120" s="657"/>
      <c r="BZ120" s="657"/>
      <c r="CA120" s="657"/>
      <c r="CE120" s="296" t="s">
        <v>789</v>
      </c>
      <c r="CF120" s="300">
        <f>Simulatore!E29</f>
        <v>20</v>
      </c>
      <c r="CG120" s="296">
        <v>1</v>
      </c>
      <c r="CH120" s="296"/>
      <c r="CI120" s="296"/>
      <c r="CJ120" s="296"/>
      <c r="CK120" s="296" t="s">
        <v>657</v>
      </c>
      <c r="CL120" s="296"/>
      <c r="CM120" s="296"/>
      <c r="CN120" s="3">
        <f>CN119-(CN121+CN122)</f>
        <v>63247.37283848203</v>
      </c>
      <c r="CO120" s="296"/>
      <c r="CP120" s="296"/>
      <c r="CQ120" s="296"/>
      <c r="CR120" s="296"/>
      <c r="CS120" s="296"/>
      <c r="CT120" s="296"/>
      <c r="CU120" s="296"/>
    </row>
    <row r="121" spans="1:99" s="3" customFormat="1" ht="17.25" customHeight="1">
      <c r="A121" s="3">
        <v>1</v>
      </c>
      <c r="B121" s="277"/>
      <c r="C121" s="657"/>
      <c r="D121" s="657"/>
      <c r="E121" s="657"/>
      <c r="F121" s="657"/>
      <c r="G121" s="657"/>
      <c r="H121" s="657"/>
      <c r="I121" s="657"/>
      <c r="J121" s="657"/>
      <c r="K121" s="657"/>
      <c r="L121" s="657"/>
      <c r="M121" s="657"/>
      <c r="N121" s="657"/>
      <c r="O121" s="657"/>
      <c r="P121" s="657"/>
      <c r="Q121" s="657"/>
      <c r="R121" s="657"/>
      <c r="S121" s="657"/>
      <c r="T121" s="657"/>
      <c r="U121" s="657"/>
      <c r="V121" s="657"/>
      <c r="W121" s="657"/>
      <c r="X121" s="657"/>
      <c r="Y121" s="657"/>
      <c r="Z121" s="657"/>
      <c r="AA121" s="657"/>
      <c r="AB121" s="657"/>
      <c r="AC121" s="657"/>
      <c r="AD121" s="657"/>
      <c r="AE121" s="657"/>
      <c r="AF121" s="657"/>
      <c r="AG121" s="657"/>
      <c r="AH121" s="657"/>
      <c r="AI121" s="657"/>
      <c r="AJ121" s="657"/>
      <c r="AK121" s="657"/>
      <c r="AL121" s="657"/>
      <c r="AM121" s="657"/>
      <c r="AN121" s="657"/>
      <c r="AO121" s="657"/>
      <c r="AP121" s="657"/>
      <c r="AQ121" s="657"/>
      <c r="AR121" s="657"/>
      <c r="AS121" s="657"/>
      <c r="AT121" s="657"/>
      <c r="AU121" s="657"/>
      <c r="AV121" s="657"/>
      <c r="AW121" s="657"/>
      <c r="AX121" s="657"/>
      <c r="AY121" s="657"/>
      <c r="AZ121" s="657"/>
      <c r="BA121" s="657"/>
      <c r="BB121" s="657"/>
      <c r="BC121" s="657"/>
      <c r="BD121" s="657"/>
      <c r="BE121" s="657"/>
      <c r="BF121" s="657"/>
      <c r="BG121" s="657"/>
      <c r="BH121" s="657"/>
      <c r="BI121" s="657"/>
      <c r="BJ121" s="657"/>
      <c r="BK121" s="657"/>
      <c r="BL121" s="657"/>
      <c r="BM121" s="657"/>
      <c r="BN121" s="657"/>
      <c r="BO121" s="657"/>
      <c r="BP121" s="657"/>
      <c r="BQ121" s="657"/>
      <c r="BR121" s="657"/>
      <c r="BS121" s="657"/>
      <c r="BT121" s="657"/>
      <c r="BU121" s="657"/>
      <c r="BV121" s="657"/>
      <c r="BW121" s="657"/>
      <c r="BX121" s="657"/>
      <c r="BY121" s="657"/>
      <c r="BZ121" s="657"/>
      <c r="CA121" s="657"/>
      <c r="CE121" s="296" t="s">
        <v>792</v>
      </c>
      <c r="CF121" s="3">
        <v>20</v>
      </c>
      <c r="CG121" s="3">
        <f>IF(CF120&lt;=CF121,1,CH118)</f>
        <v>1</v>
      </c>
      <c r="CH121" s="296"/>
      <c r="CI121" s="296"/>
      <c r="CJ121" s="296"/>
      <c r="CK121" s="296"/>
      <c r="CL121" s="296"/>
      <c r="CM121" s="296"/>
      <c r="CN121" s="296">
        <f>CM155-(CM130*CF120)</f>
        <v>7614.409419866288</v>
      </c>
      <c r="CO121" s="296"/>
      <c r="CP121" s="296"/>
      <c r="CQ121" s="296"/>
      <c r="CR121" s="296"/>
      <c r="CS121" s="296"/>
      <c r="CT121" s="296"/>
      <c r="CU121" s="296"/>
    </row>
    <row r="122" spans="1:99" s="3" customFormat="1" ht="17.25" customHeight="1">
      <c r="A122" s="3">
        <v>1</v>
      </c>
      <c r="B122" s="277"/>
      <c r="C122" s="657"/>
      <c r="D122" s="657"/>
      <c r="E122" s="657"/>
      <c r="F122" s="657"/>
      <c r="G122" s="657"/>
      <c r="H122" s="657"/>
      <c r="I122" s="657"/>
      <c r="J122" s="657"/>
      <c r="K122" s="657"/>
      <c r="L122" s="657"/>
      <c r="M122" s="657"/>
      <c r="N122" s="657"/>
      <c r="O122" s="657"/>
      <c r="P122" s="657"/>
      <c r="Q122" s="657"/>
      <c r="R122" s="657"/>
      <c r="S122" s="657"/>
      <c r="T122" s="657"/>
      <c r="U122" s="657"/>
      <c r="V122" s="657"/>
      <c r="W122" s="657"/>
      <c r="X122" s="657"/>
      <c r="Y122" s="657"/>
      <c r="Z122" s="657"/>
      <c r="AA122" s="657"/>
      <c r="AB122" s="657"/>
      <c r="AC122" s="657"/>
      <c r="AD122" s="657"/>
      <c r="AE122" s="657"/>
      <c r="AF122" s="657"/>
      <c r="AG122" s="657"/>
      <c r="AH122" s="657"/>
      <c r="AI122" s="657"/>
      <c r="AJ122" s="657"/>
      <c r="AK122" s="657"/>
      <c r="AL122" s="657"/>
      <c r="AM122" s="657"/>
      <c r="AN122" s="657"/>
      <c r="AO122" s="657"/>
      <c r="AP122" s="657"/>
      <c r="AQ122" s="657"/>
      <c r="AR122" s="657"/>
      <c r="AS122" s="657"/>
      <c r="AT122" s="657"/>
      <c r="AU122" s="657"/>
      <c r="AV122" s="657"/>
      <c r="AW122" s="657"/>
      <c r="AX122" s="657"/>
      <c r="AY122" s="657"/>
      <c r="AZ122" s="657"/>
      <c r="BA122" s="657"/>
      <c r="BB122" s="657"/>
      <c r="BC122" s="657"/>
      <c r="BD122" s="657"/>
      <c r="BE122" s="657"/>
      <c r="BF122" s="657"/>
      <c r="BG122" s="657"/>
      <c r="BH122" s="657"/>
      <c r="BI122" s="657"/>
      <c r="BJ122" s="657"/>
      <c r="BK122" s="657"/>
      <c r="BL122" s="657"/>
      <c r="BM122" s="657"/>
      <c r="BN122" s="657"/>
      <c r="BO122" s="657"/>
      <c r="BP122" s="657"/>
      <c r="BQ122" s="657"/>
      <c r="BR122" s="657"/>
      <c r="BS122" s="657"/>
      <c r="BT122" s="657"/>
      <c r="BU122" s="657"/>
      <c r="BV122" s="657"/>
      <c r="BW122" s="657"/>
      <c r="BX122" s="657"/>
      <c r="BY122" s="657"/>
      <c r="BZ122" s="657"/>
      <c r="CA122" s="657"/>
      <c r="CG122" s="3">
        <f>IF(CG123=1,CG121,CG120)</f>
        <v>1</v>
      </c>
      <c r="CH122" s="296"/>
      <c r="CI122" s="296"/>
      <c r="CJ122" s="296"/>
      <c r="CK122" s="296"/>
      <c r="CL122" s="296"/>
      <c r="CM122" s="296"/>
      <c r="CN122" s="3">
        <f>CN155-(CN130*CF120)</f>
        <v>6539.448497805848</v>
      </c>
      <c r="CO122" s="296"/>
      <c r="CP122" s="296"/>
      <c r="CQ122" s="296"/>
      <c r="CR122" s="296"/>
      <c r="CS122" s="296"/>
      <c r="CT122" s="296"/>
      <c r="CU122" s="296"/>
    </row>
    <row r="123" spans="1:99" s="3" customFormat="1" ht="60" customHeight="1">
      <c r="A123" s="3">
        <v>1</v>
      </c>
      <c r="B123" s="277"/>
      <c r="C123" s="657"/>
      <c r="D123" s="657"/>
      <c r="E123" s="657"/>
      <c r="F123" s="657"/>
      <c r="G123" s="657"/>
      <c r="H123" s="657"/>
      <c r="I123" s="657"/>
      <c r="J123" s="657"/>
      <c r="K123" s="657"/>
      <c r="L123" s="657"/>
      <c r="M123" s="657"/>
      <c r="N123" s="657"/>
      <c r="O123" s="657"/>
      <c r="P123" s="657"/>
      <c r="Q123" s="657"/>
      <c r="R123" s="657"/>
      <c r="S123" s="657"/>
      <c r="T123" s="657"/>
      <c r="U123" s="657"/>
      <c r="V123" s="657"/>
      <c r="W123" s="657"/>
      <c r="X123" s="657"/>
      <c r="Y123" s="657"/>
      <c r="Z123" s="657"/>
      <c r="AA123" s="657"/>
      <c r="AB123" s="657"/>
      <c r="AC123" s="657"/>
      <c r="AD123" s="657"/>
      <c r="AE123" s="657"/>
      <c r="AF123" s="657"/>
      <c r="AG123" s="657"/>
      <c r="AH123" s="657"/>
      <c r="AI123" s="657"/>
      <c r="AJ123" s="657"/>
      <c r="AK123" s="657"/>
      <c r="AL123" s="657"/>
      <c r="AM123" s="657"/>
      <c r="AN123" s="657"/>
      <c r="AO123" s="657"/>
      <c r="AP123" s="657"/>
      <c r="AQ123" s="657"/>
      <c r="AR123" s="657"/>
      <c r="AS123" s="657"/>
      <c r="AT123" s="657"/>
      <c r="AU123" s="657"/>
      <c r="AV123" s="657"/>
      <c r="AW123" s="657"/>
      <c r="AX123" s="657"/>
      <c r="AY123" s="657"/>
      <c r="AZ123" s="657"/>
      <c r="BA123" s="657"/>
      <c r="BB123" s="657"/>
      <c r="BC123" s="657"/>
      <c r="BD123" s="657"/>
      <c r="BE123" s="657"/>
      <c r="BF123" s="657"/>
      <c r="BG123" s="657"/>
      <c r="BH123" s="657"/>
      <c r="BI123" s="657"/>
      <c r="BJ123" s="657"/>
      <c r="BK123" s="657"/>
      <c r="BL123" s="657"/>
      <c r="BM123" s="657"/>
      <c r="BN123" s="657"/>
      <c r="BO123" s="657"/>
      <c r="BP123" s="657"/>
      <c r="BQ123" s="657"/>
      <c r="BR123" s="657"/>
      <c r="BS123" s="657"/>
      <c r="BT123" s="657"/>
      <c r="BU123" s="657"/>
      <c r="BV123" s="657"/>
      <c r="BW123" s="657"/>
      <c r="BX123" s="657"/>
      <c r="BY123" s="657"/>
      <c r="BZ123" s="657"/>
      <c r="CA123" s="657"/>
      <c r="CE123" s="297" t="s">
        <v>854</v>
      </c>
      <c r="CG123" s="301">
        <f>IF(Simulatore!G91=0,1,CG125)</f>
        <v>1.05</v>
      </c>
      <c r="CH123" s="301"/>
      <c r="CI123" s="296"/>
      <c r="CJ123" s="296"/>
      <c r="CK123" s="296" t="s">
        <v>822</v>
      </c>
      <c r="CL123" s="296"/>
      <c r="CM123" s="296"/>
      <c r="CN123" s="296"/>
      <c r="CO123" s="302"/>
      <c r="CQ123" s="296"/>
      <c r="CR123" s="296"/>
      <c r="CS123" s="296"/>
      <c r="CT123" s="296"/>
      <c r="CU123" s="296"/>
    </row>
    <row r="124" spans="1:99" s="3" customFormat="1" ht="17.25" customHeight="1">
      <c r="A124" s="3">
        <v>1</v>
      </c>
      <c r="C124" s="657"/>
      <c r="D124" s="657"/>
      <c r="E124" s="657"/>
      <c r="F124" s="657"/>
      <c r="G124" s="657"/>
      <c r="H124" s="657"/>
      <c r="I124" s="657"/>
      <c r="J124" s="657"/>
      <c r="K124" s="657"/>
      <c r="L124" s="657"/>
      <c r="M124" s="657"/>
      <c r="N124" s="657"/>
      <c r="O124" s="657"/>
      <c r="P124" s="657"/>
      <c r="Q124" s="657"/>
      <c r="R124" s="657"/>
      <c r="S124" s="657"/>
      <c r="T124" s="657"/>
      <c r="U124" s="657"/>
      <c r="V124" s="657"/>
      <c r="W124" s="657"/>
      <c r="X124" s="657"/>
      <c r="Y124" s="657"/>
      <c r="Z124" s="657"/>
      <c r="AA124" s="657"/>
      <c r="AB124" s="657"/>
      <c r="AC124" s="657"/>
      <c r="AD124" s="657"/>
      <c r="AE124" s="657"/>
      <c r="AF124" s="657"/>
      <c r="AG124" s="657"/>
      <c r="AH124" s="657"/>
      <c r="AI124" s="657"/>
      <c r="AJ124" s="657"/>
      <c r="AK124" s="657"/>
      <c r="AL124" s="657"/>
      <c r="AM124" s="657"/>
      <c r="AN124" s="657"/>
      <c r="AO124" s="657"/>
      <c r="AP124" s="657"/>
      <c r="AQ124" s="657"/>
      <c r="AR124" s="657"/>
      <c r="AS124" s="657"/>
      <c r="AT124" s="657"/>
      <c r="AU124" s="657"/>
      <c r="AV124" s="657"/>
      <c r="AW124" s="657"/>
      <c r="AX124" s="657"/>
      <c r="AY124" s="657"/>
      <c r="AZ124" s="657"/>
      <c r="BA124" s="657"/>
      <c r="BB124" s="657"/>
      <c r="BC124" s="657"/>
      <c r="BD124" s="657"/>
      <c r="BE124" s="657"/>
      <c r="BF124" s="657"/>
      <c r="BG124" s="657"/>
      <c r="BH124" s="657"/>
      <c r="BI124" s="657"/>
      <c r="BJ124" s="657"/>
      <c r="BK124" s="657"/>
      <c r="BL124" s="657"/>
      <c r="BM124" s="657"/>
      <c r="BN124" s="657"/>
      <c r="BO124" s="657"/>
      <c r="BP124" s="657"/>
      <c r="BQ124" s="657"/>
      <c r="BR124" s="657"/>
      <c r="BS124" s="657"/>
      <c r="BT124" s="657"/>
      <c r="BU124" s="657"/>
      <c r="BV124" s="657"/>
      <c r="BW124" s="657"/>
      <c r="BX124" s="657"/>
      <c r="BY124" s="657"/>
      <c r="BZ124" s="657"/>
      <c r="CA124" s="657"/>
      <c r="CC124" s="3">
        <f>12.7*12</f>
        <v>152.39999999999998</v>
      </c>
      <c r="CD124" s="3" t="s">
        <v>201</v>
      </c>
      <c r="CE124" s="297" t="s">
        <v>821</v>
      </c>
      <c r="CF124" s="297"/>
      <c r="CG124" s="301">
        <f>CH124+1</f>
        <v>1.03</v>
      </c>
      <c r="CH124" s="301">
        <f>B!B41</f>
        <v>0.03</v>
      </c>
      <c r="CJ124" s="296"/>
      <c r="CK124" s="303">
        <f>IF(Simulatore!O11=Simulatore!R11,CK126,CK125)</f>
        <v>0.05</v>
      </c>
      <c r="CL124" s="296"/>
      <c r="CM124" s="303">
        <f>IF(Simulatore!A81=1,0,CK124)</f>
        <v>0.05</v>
      </c>
      <c r="CN124" s="296"/>
      <c r="CO124" s="302"/>
      <c r="CQ124" s="296"/>
      <c r="CR124" s="296"/>
      <c r="CS124" s="296"/>
      <c r="CT124" s="296"/>
      <c r="CU124" s="296"/>
    </row>
    <row r="125" spans="1:91" s="3" customFormat="1" ht="16.5" customHeight="1">
      <c r="A125" s="3">
        <v>1</v>
      </c>
      <c r="CE125" s="297" t="s">
        <v>819</v>
      </c>
      <c r="CF125" s="297"/>
      <c r="CG125" s="301">
        <f>CH125+1</f>
        <v>1.05</v>
      </c>
      <c r="CH125" s="301">
        <f>B!B30</f>
        <v>0.05</v>
      </c>
      <c r="CK125" s="304">
        <f>CH125</f>
        <v>0.05</v>
      </c>
      <c r="CM125" s="302">
        <f>CM124+1</f>
        <v>1.05</v>
      </c>
    </row>
    <row r="126" spans="1:89" s="3" customFormat="1" ht="19.5" customHeight="1">
      <c r="A126" s="3">
        <v>1</v>
      </c>
      <c r="B126" s="707" t="str">
        <f>"DETTAGLIO AMMORTAMENTO ANNUALE NEI "&amp;Simulatore!E29&amp;" ANNI"</f>
        <v>DETTAGLIO AMMORTAMENTO ANNUALE NEI 20 ANNI</v>
      </c>
      <c r="C126" s="707"/>
      <c r="D126" s="707"/>
      <c r="E126" s="707"/>
      <c r="F126" s="707"/>
      <c r="G126" s="707"/>
      <c r="H126" s="707"/>
      <c r="I126" s="707"/>
      <c r="J126" s="707"/>
      <c r="K126" s="707"/>
      <c r="L126" s="707"/>
      <c r="M126" s="707"/>
      <c r="N126" s="707"/>
      <c r="O126" s="707"/>
      <c r="P126" s="707"/>
      <c r="Q126" s="707"/>
      <c r="R126" s="707"/>
      <c r="S126" s="707"/>
      <c r="T126" s="707"/>
      <c r="U126" s="707"/>
      <c r="V126" s="707"/>
      <c r="W126" s="707"/>
      <c r="X126" s="707"/>
      <c r="Y126" s="707"/>
      <c r="Z126" s="707"/>
      <c r="AA126" s="707"/>
      <c r="AB126" s="707"/>
      <c r="AC126" s="707"/>
      <c r="AD126" s="707"/>
      <c r="AE126" s="707"/>
      <c r="AF126" s="707"/>
      <c r="AG126" s="707"/>
      <c r="AH126" s="707"/>
      <c r="AI126" s="707"/>
      <c r="AJ126" s="707"/>
      <c r="AK126" s="707"/>
      <c r="AL126" s="707"/>
      <c r="AM126" s="707"/>
      <c r="AN126" s="707"/>
      <c r="AO126" s="707"/>
      <c r="AP126" s="707"/>
      <c r="AQ126" s="707"/>
      <c r="AR126" s="707"/>
      <c r="AS126" s="707"/>
      <c r="AT126" s="707"/>
      <c r="AU126" s="707"/>
      <c r="AV126" s="707"/>
      <c r="AW126" s="707"/>
      <c r="AX126" s="707"/>
      <c r="AY126" s="707"/>
      <c r="AZ126" s="707"/>
      <c r="BA126" s="707"/>
      <c r="BB126" s="707"/>
      <c r="BC126" s="707"/>
      <c r="BD126" s="707"/>
      <c r="BE126" s="707"/>
      <c r="BF126" s="707"/>
      <c r="BG126" s="707"/>
      <c r="BH126" s="707"/>
      <c r="BI126" s="707"/>
      <c r="BJ126" s="707"/>
      <c r="BK126" s="707"/>
      <c r="BL126" s="707"/>
      <c r="BM126" s="707"/>
      <c r="BN126" s="707"/>
      <c r="BO126" s="707"/>
      <c r="BP126" s="707"/>
      <c r="BQ126" s="707"/>
      <c r="BR126" s="707"/>
      <c r="BS126" s="707"/>
      <c r="BT126" s="707"/>
      <c r="BU126" s="708"/>
      <c r="BV126" s="708"/>
      <c r="BW126" s="708"/>
      <c r="BX126" s="708"/>
      <c r="BY126" s="708"/>
      <c r="BZ126" s="708"/>
      <c r="CA126" s="708"/>
      <c r="CE126" s="297" t="s">
        <v>820</v>
      </c>
      <c r="CF126" s="297"/>
      <c r="CG126" s="301">
        <f>CH126+1</f>
        <v>1.06</v>
      </c>
      <c r="CH126" s="301">
        <f>B!B21</f>
        <v>0.06</v>
      </c>
      <c r="CK126" s="304">
        <f>CH125</f>
        <v>0.05</v>
      </c>
    </row>
    <row r="127" spans="1:115" s="3" customFormat="1" ht="10.5" customHeight="1">
      <c r="A127" s="3">
        <v>1</v>
      </c>
      <c r="B127" s="305"/>
      <c r="C127" s="305"/>
      <c r="D127" s="305"/>
      <c r="E127" s="305"/>
      <c r="F127" s="305"/>
      <c r="G127" s="305"/>
      <c r="H127" s="305"/>
      <c r="I127" s="305"/>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5"/>
      <c r="AK127" s="305"/>
      <c r="AL127" s="305"/>
      <c r="AM127" s="305"/>
      <c r="AN127" s="305"/>
      <c r="AO127" s="305"/>
      <c r="AP127" s="305"/>
      <c r="AQ127" s="305"/>
      <c r="AR127" s="305"/>
      <c r="AS127" s="305"/>
      <c r="AT127" s="305"/>
      <c r="AU127" s="305"/>
      <c r="AV127" s="305"/>
      <c r="AW127" s="305"/>
      <c r="AX127" s="305"/>
      <c r="AY127" s="305"/>
      <c r="AZ127" s="305"/>
      <c r="BA127" s="305"/>
      <c r="BB127" s="305"/>
      <c r="BC127" s="305"/>
      <c r="BD127" s="305"/>
      <c r="BE127" s="305"/>
      <c r="BF127" s="305"/>
      <c r="BG127" s="305"/>
      <c r="BH127" s="305"/>
      <c r="BI127" s="305"/>
      <c r="BJ127" s="305"/>
      <c r="BK127" s="305"/>
      <c r="BL127" s="305"/>
      <c r="BM127" s="305"/>
      <c r="BN127" s="305"/>
      <c r="BO127" s="305"/>
      <c r="BP127" s="305"/>
      <c r="BQ127" s="305"/>
      <c r="BR127" s="305"/>
      <c r="BS127" s="305"/>
      <c r="BT127" s="305"/>
      <c r="BU127" s="8"/>
      <c r="BV127" s="8"/>
      <c r="BW127" s="8"/>
      <c r="BX127" s="8"/>
      <c r="BY127" s="8"/>
      <c r="BZ127" s="8"/>
      <c r="CA127" s="8"/>
      <c r="CB127" s="8"/>
      <c r="CC127" s="734" t="s">
        <v>827</v>
      </c>
      <c r="CE127" s="297"/>
      <c r="CF127" s="297"/>
      <c r="CG127" s="297"/>
      <c r="CH127" s="301"/>
      <c r="DK127" s="678" t="s">
        <v>829</v>
      </c>
    </row>
    <row r="128" spans="1:115" s="3" customFormat="1" ht="18" customHeight="1">
      <c r="A128" s="3">
        <v>1</v>
      </c>
      <c r="B128" s="703" t="s">
        <v>659</v>
      </c>
      <c r="C128" s="657"/>
      <c r="D128" s="704" t="s">
        <v>817</v>
      </c>
      <c r="E128" s="705"/>
      <c r="F128" s="705"/>
      <c r="G128" s="705"/>
      <c r="H128" s="705"/>
      <c r="I128" s="705"/>
      <c r="J128" s="705"/>
      <c r="K128" s="705"/>
      <c r="L128" s="705"/>
      <c r="M128" s="704" t="s">
        <v>813</v>
      </c>
      <c r="N128" s="704"/>
      <c r="O128" s="704"/>
      <c r="P128" s="704"/>
      <c r="Q128" s="704"/>
      <c r="R128" s="704"/>
      <c r="S128" s="704"/>
      <c r="T128" s="704"/>
      <c r="U128" s="704"/>
      <c r="V128" s="704"/>
      <c r="W128" s="704"/>
      <c r="X128" s="704"/>
      <c r="Y128" s="704"/>
      <c r="Z128" s="704"/>
      <c r="AA128" s="704"/>
      <c r="AB128" s="704"/>
      <c r="AC128" s="704"/>
      <c r="AD128" s="704"/>
      <c r="AE128" s="704"/>
      <c r="AF128" s="704"/>
      <c r="AG128" s="704"/>
      <c r="AH128" s="704" t="s">
        <v>814</v>
      </c>
      <c r="AI128" s="704"/>
      <c r="AJ128" s="704"/>
      <c r="AK128" s="704"/>
      <c r="AL128" s="704"/>
      <c r="AM128" s="704"/>
      <c r="AN128" s="704"/>
      <c r="AO128" s="704"/>
      <c r="AP128" s="704"/>
      <c r="AQ128" s="704"/>
      <c r="AR128" s="704"/>
      <c r="AS128" s="704"/>
      <c r="AT128" s="704"/>
      <c r="AU128" s="704"/>
      <c r="AV128" s="704"/>
      <c r="AW128" s="704"/>
      <c r="AX128" s="704"/>
      <c r="AY128" s="704"/>
      <c r="AZ128" s="704"/>
      <c r="BA128" s="704" t="s">
        <v>824</v>
      </c>
      <c r="BB128" s="704"/>
      <c r="BC128" s="704"/>
      <c r="BD128" s="704"/>
      <c r="BE128" s="704"/>
      <c r="BF128" s="704"/>
      <c r="BG128" s="704"/>
      <c r="BH128" s="704"/>
      <c r="BI128" s="704"/>
      <c r="BJ128" s="704"/>
      <c r="BK128" s="704"/>
      <c r="BL128" s="704"/>
      <c r="BM128" s="704"/>
      <c r="BN128" s="704"/>
      <c r="BO128" s="704"/>
      <c r="BP128" s="704"/>
      <c r="BQ128" s="704"/>
      <c r="BR128" s="704" t="s">
        <v>818</v>
      </c>
      <c r="BS128" s="656"/>
      <c r="BT128" s="656"/>
      <c r="BU128" s="656"/>
      <c r="BV128" s="656"/>
      <c r="BW128" s="656"/>
      <c r="BX128" s="656"/>
      <c r="BY128" s="656"/>
      <c r="BZ128" s="656"/>
      <c r="CA128" s="656"/>
      <c r="CB128" s="8"/>
      <c r="CC128" s="726"/>
      <c r="CF128" s="695" t="s">
        <v>831</v>
      </c>
      <c r="CG128" s="695" t="s">
        <v>832</v>
      </c>
      <c r="CH128" s="695" t="s">
        <v>833</v>
      </c>
      <c r="CS128" s="3" t="s">
        <v>834</v>
      </c>
      <c r="CY128" s="695" t="s">
        <v>835</v>
      </c>
      <c r="DA128" s="695" t="s">
        <v>839</v>
      </c>
      <c r="DE128" s="3">
        <f>(Simulatore!O12-Simulatore!R12)</f>
        <v>4717.008830049999</v>
      </c>
      <c r="DK128" s="657"/>
    </row>
    <row r="129" spans="1:145" s="3" customFormat="1" ht="28.5" customHeight="1">
      <c r="A129" s="3">
        <v>1</v>
      </c>
      <c r="B129" s="657"/>
      <c r="C129" s="657"/>
      <c r="D129" s="705"/>
      <c r="E129" s="705"/>
      <c r="F129" s="705"/>
      <c r="G129" s="705"/>
      <c r="H129" s="705"/>
      <c r="I129" s="705"/>
      <c r="J129" s="705"/>
      <c r="K129" s="705"/>
      <c r="L129" s="705"/>
      <c r="M129" s="706" t="s">
        <v>786</v>
      </c>
      <c r="N129" s="706"/>
      <c r="O129" s="706"/>
      <c r="P129" s="706"/>
      <c r="Q129" s="706"/>
      <c r="R129" s="706"/>
      <c r="S129" s="706"/>
      <c r="T129" s="706"/>
      <c r="U129" s="706"/>
      <c r="V129" s="706"/>
      <c r="W129" s="706" t="s">
        <v>790</v>
      </c>
      <c r="X129" s="706"/>
      <c r="Y129" s="706"/>
      <c r="Z129" s="706"/>
      <c r="AA129" s="706"/>
      <c r="AB129" s="706"/>
      <c r="AC129" s="706"/>
      <c r="AD129" s="706"/>
      <c r="AE129" s="706"/>
      <c r="AF129" s="706"/>
      <c r="AG129" s="706"/>
      <c r="AH129" s="706" t="s">
        <v>791</v>
      </c>
      <c r="AI129" s="706"/>
      <c r="AJ129" s="706"/>
      <c r="AK129" s="706"/>
      <c r="AL129" s="706"/>
      <c r="AM129" s="706"/>
      <c r="AN129" s="706"/>
      <c r="AO129" s="706"/>
      <c r="AP129" s="706"/>
      <c r="AQ129" s="706"/>
      <c r="AR129" s="706" t="s">
        <v>787</v>
      </c>
      <c r="AS129" s="706"/>
      <c r="AT129" s="706"/>
      <c r="AU129" s="706"/>
      <c r="AV129" s="706"/>
      <c r="AW129" s="706"/>
      <c r="AX129" s="706"/>
      <c r="AY129" s="706"/>
      <c r="AZ129" s="706"/>
      <c r="BA129" s="706" t="s">
        <v>815</v>
      </c>
      <c r="BB129" s="706"/>
      <c r="BC129" s="706"/>
      <c r="BD129" s="706"/>
      <c r="BE129" s="706"/>
      <c r="BF129" s="706"/>
      <c r="BG129" s="706"/>
      <c r="BH129" s="706"/>
      <c r="BI129" s="706"/>
      <c r="BJ129" s="706" t="s">
        <v>816</v>
      </c>
      <c r="BK129" s="706"/>
      <c r="BL129" s="706"/>
      <c r="BM129" s="706"/>
      <c r="BN129" s="706"/>
      <c r="BO129" s="706"/>
      <c r="BP129" s="706"/>
      <c r="BQ129" s="706"/>
      <c r="BR129" s="656"/>
      <c r="BS129" s="656"/>
      <c r="BT129" s="656"/>
      <c r="BU129" s="656"/>
      <c r="BV129" s="656"/>
      <c r="BW129" s="656"/>
      <c r="BX129" s="656"/>
      <c r="BY129" s="656"/>
      <c r="BZ129" s="656"/>
      <c r="CA129" s="656"/>
      <c r="CB129" s="8"/>
      <c r="CC129" s="726"/>
      <c r="CD129" s="306" t="s">
        <v>830</v>
      </c>
      <c r="CE129" s="307" t="s">
        <v>828</v>
      </c>
      <c r="CF129" s="695"/>
      <c r="CG129" s="695"/>
      <c r="CH129" s="695"/>
      <c r="CI129" s="298" t="s">
        <v>52</v>
      </c>
      <c r="CJ129" s="296"/>
      <c r="CK129" s="178" t="s">
        <v>494</v>
      </c>
      <c r="CL129" s="296"/>
      <c r="CM129" s="688" t="s">
        <v>823</v>
      </c>
      <c r="CN129" s="719"/>
      <c r="CP129" s="267" t="s">
        <v>656</v>
      </c>
      <c r="CQ129" s="308" t="s">
        <v>655</v>
      </c>
      <c r="CR129" s="296"/>
      <c r="CS129" s="309">
        <f>A!G12</f>
        <v>0.002</v>
      </c>
      <c r="CT129" s="308" t="s">
        <v>655</v>
      </c>
      <c r="CU129" s="296"/>
      <c r="CV129" s="308" t="s">
        <v>656</v>
      </c>
      <c r="CW129" s="310" t="s">
        <v>825</v>
      </c>
      <c r="CX129" s="296"/>
      <c r="CY129" s="657"/>
      <c r="DA129" s="657"/>
      <c r="DC129" s="178" t="s">
        <v>838</v>
      </c>
      <c r="DE129" s="3" t="s">
        <v>656</v>
      </c>
      <c r="DF129" s="3" t="s">
        <v>655</v>
      </c>
      <c r="DH129" s="261" t="s">
        <v>656</v>
      </c>
      <c r="DI129" s="261" t="s">
        <v>655</v>
      </c>
      <c r="DK129" s="657"/>
      <c r="EO129" s="3" t="s">
        <v>880</v>
      </c>
    </row>
    <row r="130" spans="1:145" s="3" customFormat="1" ht="15" customHeight="1">
      <c r="A130" s="3">
        <v>1</v>
      </c>
      <c r="B130" s="689">
        <v>1</v>
      </c>
      <c r="C130" s="689"/>
      <c r="D130" s="726">
        <f>CH130</f>
        <v>2379.670881</v>
      </c>
      <c r="E130" s="726"/>
      <c r="F130" s="726"/>
      <c r="G130" s="726"/>
      <c r="H130" s="726"/>
      <c r="I130" s="726"/>
      <c r="J130" s="726"/>
      <c r="K130" s="726"/>
      <c r="L130" s="726"/>
      <c r="M130" s="726">
        <f>(B!B4+B!B11)/Simulatore!E27</f>
        <v>1667.4365452916397</v>
      </c>
      <c r="N130" s="726"/>
      <c r="O130" s="726"/>
      <c r="P130" s="726"/>
      <c r="Q130" s="726"/>
      <c r="R130" s="726"/>
      <c r="S130" s="726"/>
      <c r="T130" s="726"/>
      <c r="U130" s="726"/>
      <c r="V130" s="726"/>
      <c r="W130" s="723">
        <v>0</v>
      </c>
      <c r="X130" s="723"/>
      <c r="Y130" s="723"/>
      <c r="Z130" s="723"/>
      <c r="AA130" s="723"/>
      <c r="AB130" s="723"/>
      <c r="AC130" s="723"/>
      <c r="AD130" s="723"/>
      <c r="AE130" s="723"/>
      <c r="AF130" s="723"/>
      <c r="AG130" s="723"/>
      <c r="AH130" s="723">
        <f aca="true" t="shared" si="1" ref="AH130:AH154">IF(B130&lt;=$CF$120,CW130,0)</f>
        <v>1042.6856092716212</v>
      </c>
      <c r="AI130" s="723"/>
      <c r="AJ130" s="723"/>
      <c r="AK130" s="723"/>
      <c r="AL130" s="723"/>
      <c r="AM130" s="723"/>
      <c r="AN130" s="723"/>
      <c r="AO130" s="723"/>
      <c r="AP130" s="723"/>
      <c r="AQ130" s="723"/>
      <c r="AR130" s="723">
        <f>Simulatore!R14/10</f>
        <v>692.0321576338398</v>
      </c>
      <c r="AS130" s="723"/>
      <c r="AT130" s="723"/>
      <c r="AU130" s="723"/>
      <c r="AV130" s="723"/>
      <c r="AW130" s="723"/>
      <c r="AX130" s="723"/>
      <c r="AY130" s="723"/>
      <c r="AZ130" s="723"/>
      <c r="BA130" s="723">
        <f>AR130+AH130-W130-M130</f>
        <v>67.28122161382112</v>
      </c>
      <c r="BB130" s="723"/>
      <c r="BC130" s="723"/>
      <c r="BD130" s="723"/>
      <c r="BE130" s="723"/>
      <c r="BF130" s="723"/>
      <c r="BG130" s="723"/>
      <c r="BH130" s="723"/>
      <c r="BI130" s="723"/>
      <c r="BJ130" s="723">
        <f aca="true" t="shared" si="2" ref="BJ130:BJ154">IF(B130&lt;=$CF$120,CD130,0)</f>
        <v>67.28122161382112</v>
      </c>
      <c r="BK130" s="723"/>
      <c r="BL130" s="723"/>
      <c r="BM130" s="723"/>
      <c r="BN130" s="723"/>
      <c r="BO130" s="723"/>
      <c r="BP130" s="723"/>
      <c r="BQ130" s="723"/>
      <c r="BR130" s="723">
        <f>D130-BA130</f>
        <v>2312.389659386179</v>
      </c>
      <c r="BS130" s="723"/>
      <c r="BT130" s="723"/>
      <c r="BU130" s="723"/>
      <c r="BV130" s="723"/>
      <c r="BW130" s="723"/>
      <c r="BX130" s="723"/>
      <c r="BY130" s="723"/>
      <c r="BZ130" s="723"/>
      <c r="CA130" s="723"/>
      <c r="CB130" s="8"/>
      <c r="CC130" s="285">
        <f aca="true" t="shared" si="3" ref="CC130:CC154">IF(B130&lt;=$CF$120,DK130,0)</f>
        <v>1042.6856092716212</v>
      </c>
      <c r="CD130" s="285">
        <f>BA130</f>
        <v>67.28122161382112</v>
      </c>
      <c r="CE130" s="311">
        <f>Simulatore!R14/10</f>
        <v>692.0321576338398</v>
      </c>
      <c r="CF130" s="285">
        <f>Simulatore!H10</f>
        <v>1600</v>
      </c>
      <c r="CG130" s="285">
        <f>E!W10</f>
        <v>779.670881</v>
      </c>
      <c r="CH130" s="285">
        <f>CF130+CG130</f>
        <v>2379.670881</v>
      </c>
      <c r="CI130" s="285">
        <f>A!G34/20</f>
        <v>567.9903519010501</v>
      </c>
      <c r="CJ130" s="285"/>
      <c r="CK130" s="285">
        <f>(A!$B$221*A!$G$6)+(A!D221*A!G6)</f>
        <v>200</v>
      </c>
      <c r="CL130" s="285"/>
      <c r="CM130" s="286">
        <f>(Simulatore!O11-Simulatore!R11)/CF120</f>
        <v>218.4</v>
      </c>
      <c r="CN130" s="311">
        <f>(Simulatore!O12-Simulatore!R12)/CF120</f>
        <v>235.85044150249996</v>
      </c>
      <c r="CP130" s="285">
        <f>CM130+CN130</f>
        <v>454.25044150249994</v>
      </c>
      <c r="CQ130" s="285">
        <f>A!G40/20</f>
        <v>567.9903519010501</v>
      </c>
      <c r="CS130" s="285">
        <f>10*CS129+1</f>
        <v>1.02</v>
      </c>
      <c r="CT130" s="286">
        <f>CQ130*CS130</f>
        <v>579.3501589390711</v>
      </c>
      <c r="CU130" s="311"/>
      <c r="CV130" s="312">
        <f>CP130*CS130</f>
        <v>463.33545033254995</v>
      </c>
      <c r="CW130" s="311">
        <f>CT130+CV130</f>
        <v>1042.6856092716212</v>
      </c>
      <c r="CY130" s="285">
        <f>D130-AH130-AR130</f>
        <v>644.953114094539</v>
      </c>
      <c r="CZ130" s="285">
        <f aca="true" t="shared" si="4" ref="CZ130:CZ154">M130+CY130</f>
        <v>2312.3896593861787</v>
      </c>
      <c r="DA130" s="285">
        <f>IF(CY130&lt;=0,0,CY130)</f>
        <v>644.953114094539</v>
      </c>
      <c r="DB130" s="3">
        <f aca="true" t="shared" si="5" ref="DB130:DB154">IF(CY130&lt;=0,CZ130,M130)</f>
        <v>1667.4365452916397</v>
      </c>
      <c r="DC130" s="3">
        <f>IF(B130&lt;=$CF$119,DB130,0)</f>
        <v>1667.4365452916397</v>
      </c>
      <c r="DD130" s="3">
        <v>1</v>
      </c>
      <c r="DE130" s="285">
        <f>((Simulatore!O11-Simulatore!R11)+(Simulatore!O12-Simulatore!R12))/CF120</f>
        <v>454.25044150249994</v>
      </c>
      <c r="DF130" s="285">
        <f>A!G40/20</f>
        <v>567.9903519010501</v>
      </c>
      <c r="DH130" s="286">
        <f aca="true" t="shared" si="6" ref="DH130:DH154">DE130*CS130</f>
        <v>463.33545033254995</v>
      </c>
      <c r="DI130" s="286">
        <f>DF130*CS130</f>
        <v>579.3501589390711</v>
      </c>
      <c r="DK130" s="286">
        <f>DH130+DI130</f>
        <v>1042.6856092716212</v>
      </c>
      <c r="DN130" s="3">
        <f>IF(BJ130&lt;BJ131,BJ130,BJ131)</f>
        <v>67.28122161382112</v>
      </c>
      <c r="DO130" s="3">
        <f>IF(DN130&lt;DN131,DN130,DN131)</f>
        <v>48.923716530328875</v>
      </c>
      <c r="DP130" s="3">
        <f aca="true" t="shared" si="7" ref="DP130:EL130">IF(DO130&lt;DO131,DO130,DO131)</f>
        <v>48.923716530328875</v>
      </c>
      <c r="DQ130" s="3">
        <f t="shared" si="7"/>
        <v>48.923716530328875</v>
      </c>
      <c r="DR130" s="3">
        <f t="shared" si="7"/>
        <v>48.923716530328875</v>
      </c>
      <c r="DS130" s="3">
        <f t="shared" si="7"/>
        <v>48.923716530328875</v>
      </c>
      <c r="DT130" s="3">
        <f t="shared" si="7"/>
        <v>48.923716530328875</v>
      </c>
      <c r="DU130" s="3">
        <f t="shared" si="7"/>
        <v>48.923716530328875</v>
      </c>
      <c r="DV130" s="3">
        <f t="shared" si="7"/>
        <v>48.923716530328875</v>
      </c>
      <c r="DW130" s="3">
        <f t="shared" si="7"/>
        <v>48.923716530328875</v>
      </c>
      <c r="DX130" s="3">
        <f t="shared" si="7"/>
        <v>48.923716530328875</v>
      </c>
      <c r="DY130" s="3">
        <f t="shared" si="7"/>
        <v>48.923716530328875</v>
      </c>
      <c r="DZ130" s="3">
        <f t="shared" si="7"/>
        <v>48.923716530328875</v>
      </c>
      <c r="EA130" s="3">
        <f t="shared" si="7"/>
        <v>48.923716530328875</v>
      </c>
      <c r="EB130" s="3">
        <f t="shared" si="7"/>
        <v>48.923716530328875</v>
      </c>
      <c r="EC130" s="3">
        <f t="shared" si="7"/>
        <v>48.923716530328875</v>
      </c>
      <c r="ED130" s="3">
        <f t="shared" si="7"/>
        <v>48.923716530328875</v>
      </c>
      <c r="EE130" s="3">
        <f t="shared" si="7"/>
        <v>48.923716530328875</v>
      </c>
      <c r="EF130" s="3">
        <f t="shared" si="7"/>
        <v>48.923716530328875</v>
      </c>
      <c r="EG130" s="3">
        <f t="shared" si="7"/>
        <v>0</v>
      </c>
      <c r="EH130" s="3">
        <f t="shared" si="7"/>
        <v>0</v>
      </c>
      <c r="EI130" s="3">
        <f t="shared" si="7"/>
        <v>0</v>
      </c>
      <c r="EJ130" s="3">
        <f t="shared" si="7"/>
        <v>0</v>
      </c>
      <c r="EK130" s="3">
        <f t="shared" si="7"/>
        <v>0</v>
      </c>
      <c r="EL130" s="3">
        <f t="shared" si="7"/>
        <v>0</v>
      </c>
      <c r="EM130" s="267">
        <f>IF(EL130&lt;EL131,EL130,EL131)</f>
        <v>0</v>
      </c>
      <c r="EN130" s="267">
        <f>IF(BJ130=$EM$130,B130,0)</f>
        <v>0</v>
      </c>
      <c r="EO130" s="3">
        <f>IF(B130=$CF$119,BJ130,0)</f>
        <v>0</v>
      </c>
    </row>
    <row r="131" spans="1:145" s="3" customFormat="1" ht="15" customHeight="1">
      <c r="A131" s="3">
        <f>IF(D131=0,0,1)</f>
        <v>1</v>
      </c>
      <c r="B131" s="689">
        <v>2</v>
      </c>
      <c r="C131" s="689"/>
      <c r="D131" s="726">
        <f aca="true" t="shared" si="8" ref="D131:D154">IF(B131&lt;=$CF$120,CH131,0)</f>
        <v>2514.65442505</v>
      </c>
      <c r="E131" s="726"/>
      <c r="F131" s="726"/>
      <c r="G131" s="726"/>
      <c r="H131" s="726"/>
      <c r="I131" s="726"/>
      <c r="J131" s="726"/>
      <c r="K131" s="726"/>
      <c r="L131" s="726"/>
      <c r="M131" s="726">
        <f aca="true" t="shared" si="9" ref="M131:M154">IF(B131&lt;=$CF$119,$M$130,0)</f>
        <v>1667.4365452916397</v>
      </c>
      <c r="N131" s="726"/>
      <c r="O131" s="726"/>
      <c r="P131" s="726"/>
      <c r="Q131" s="726"/>
      <c r="R131" s="726"/>
      <c r="S131" s="726"/>
      <c r="T131" s="726"/>
      <c r="U131" s="726"/>
      <c r="V131" s="726"/>
      <c r="W131" s="723">
        <f>CK130/2</f>
        <v>100</v>
      </c>
      <c r="X131" s="723"/>
      <c r="Y131" s="723"/>
      <c r="Z131" s="723"/>
      <c r="AA131" s="723"/>
      <c r="AB131" s="723"/>
      <c r="AC131" s="723"/>
      <c r="AD131" s="723"/>
      <c r="AE131" s="723"/>
      <c r="AF131" s="723"/>
      <c r="AG131" s="723"/>
      <c r="AH131" s="723">
        <f t="shared" si="1"/>
        <v>1094.8964960690548</v>
      </c>
      <c r="AI131" s="723"/>
      <c r="AJ131" s="723"/>
      <c r="AK131" s="723"/>
      <c r="AL131" s="723"/>
      <c r="AM131" s="723"/>
      <c r="AN131" s="723"/>
      <c r="AO131" s="723"/>
      <c r="AP131" s="723"/>
      <c r="AQ131" s="723"/>
      <c r="AR131" s="723">
        <f>AR130</f>
        <v>692.0321576338398</v>
      </c>
      <c r="AS131" s="723"/>
      <c r="AT131" s="723"/>
      <c r="AU131" s="723"/>
      <c r="AV131" s="723"/>
      <c r="AW131" s="723"/>
      <c r="AX131" s="723"/>
      <c r="AY131" s="723"/>
      <c r="AZ131" s="723"/>
      <c r="BA131" s="723">
        <f aca="true" t="shared" si="10" ref="BA131:BA154">AR131+AH131-W131-M131</f>
        <v>19.492108411255003</v>
      </c>
      <c r="BB131" s="723"/>
      <c r="BC131" s="723"/>
      <c r="BD131" s="723"/>
      <c r="BE131" s="723"/>
      <c r="BF131" s="723"/>
      <c r="BG131" s="723"/>
      <c r="BH131" s="723"/>
      <c r="BI131" s="723"/>
      <c r="BJ131" s="723">
        <f t="shared" si="2"/>
        <v>86.77333002507612</v>
      </c>
      <c r="BK131" s="723"/>
      <c r="BL131" s="723"/>
      <c r="BM131" s="723"/>
      <c r="BN131" s="723"/>
      <c r="BO131" s="723"/>
      <c r="BP131" s="723"/>
      <c r="BQ131" s="723"/>
      <c r="BR131" s="723">
        <f>D131-BA131</f>
        <v>2495.1623166387453</v>
      </c>
      <c r="BS131" s="723"/>
      <c r="BT131" s="723"/>
      <c r="BU131" s="723"/>
      <c r="BV131" s="723"/>
      <c r="BW131" s="723"/>
      <c r="BX131" s="723"/>
      <c r="BY131" s="723"/>
      <c r="BZ131" s="723"/>
      <c r="CA131" s="723"/>
      <c r="CB131" s="8"/>
      <c r="CC131" s="285">
        <f t="shared" si="3"/>
        <v>1040.641127684814</v>
      </c>
      <c r="CD131" s="285">
        <f aca="true" t="shared" si="11" ref="CD131:CD154">CD130+BA131</f>
        <v>86.77333002507612</v>
      </c>
      <c r="CF131" s="285">
        <f aca="true" t="shared" si="12" ref="CF131:CF154">CF130*$CG$126</f>
        <v>1696</v>
      </c>
      <c r="CG131" s="285">
        <f aca="true" t="shared" si="13" ref="CG131:CG154">CG130*$CG$125</f>
        <v>818.6544250500001</v>
      </c>
      <c r="CH131" s="285">
        <f>CF131+CG131</f>
        <v>2514.65442505</v>
      </c>
      <c r="CI131" s="285">
        <f>CI130*$CG$125</f>
        <v>596.3898694961026</v>
      </c>
      <c r="CJ131" s="285"/>
      <c r="CK131" s="285">
        <f aca="true" t="shared" si="14" ref="CK131:CK140">CK130*$CG$124</f>
        <v>206</v>
      </c>
      <c r="CL131" s="285"/>
      <c r="CM131" s="286">
        <f aca="true" t="shared" si="15" ref="CM131:CM154">CM130*$CG$126</f>
        <v>231.50400000000002</v>
      </c>
      <c r="CN131" s="311">
        <f aca="true" t="shared" si="16" ref="CN131:CN154">CN130*$CG$125</f>
        <v>247.64296357762498</v>
      </c>
      <c r="CP131" s="285">
        <f aca="true" t="shared" si="17" ref="CP131:CP154">CM131+CN131</f>
        <v>479.146963577625</v>
      </c>
      <c r="CQ131" s="285">
        <f>CQ130*$CG$123</f>
        <v>596.3898694961026</v>
      </c>
      <c r="CS131" s="285">
        <f aca="true" t="shared" si="18" ref="CS131:CS154">CS130-$CS$129</f>
        <v>1.018</v>
      </c>
      <c r="CT131" s="286">
        <f aca="true" t="shared" si="19" ref="CT131:CT154">CQ131*CS131</f>
        <v>607.1248871470325</v>
      </c>
      <c r="CU131" s="311"/>
      <c r="CV131" s="312">
        <f aca="true" t="shared" si="20" ref="CV131:CV154">CP131*CS131</f>
        <v>487.77160892202227</v>
      </c>
      <c r="CW131" s="311">
        <f aca="true" t="shared" si="21" ref="CW131:CW154">CT131+CV131</f>
        <v>1094.8964960690548</v>
      </c>
      <c r="CY131" s="285">
        <f aca="true" t="shared" si="22" ref="CY131:CY154">D131-AH131-AR131</f>
        <v>727.7257713471055</v>
      </c>
      <c r="CZ131" s="285">
        <f t="shared" si="4"/>
        <v>2395.1623166387453</v>
      </c>
      <c r="DA131" s="285">
        <f aca="true" t="shared" si="23" ref="DA131:DA154">IF(CY131&lt;=0,0,CY131)</f>
        <v>727.7257713471055</v>
      </c>
      <c r="DB131" s="3">
        <f t="shared" si="5"/>
        <v>1667.4365452916397</v>
      </c>
      <c r="DC131" s="3">
        <f aca="true" t="shared" si="24" ref="DC131:DC154">IF(B131&lt;=$CF$119,DB131,0)</f>
        <v>1667.4365452916397</v>
      </c>
      <c r="DD131" s="3">
        <v>2</v>
      </c>
      <c r="DE131" s="285">
        <f>DE130</f>
        <v>454.25044150249994</v>
      </c>
      <c r="DF131" s="285">
        <f>DF130</f>
        <v>567.9903519010501</v>
      </c>
      <c r="DH131" s="286">
        <f t="shared" si="6"/>
        <v>462.42694944954496</v>
      </c>
      <c r="DI131" s="286">
        <f aca="true" t="shared" si="25" ref="DI131:DI154">DF131*CS131</f>
        <v>578.214178235269</v>
      </c>
      <c r="DK131" s="286">
        <f aca="true" t="shared" si="26" ref="DK131:DK154">DH131+DI131</f>
        <v>1040.641127684814</v>
      </c>
      <c r="DN131" s="3">
        <f aca="true" t="shared" si="27" ref="DN131:DN154">IF(BJ131&lt;BJ132,BJ131,BJ132)</f>
        <v>48.923716530328875</v>
      </c>
      <c r="DO131" s="3">
        <f aca="true" t="shared" si="28" ref="DO131:EB149">IF(DN131&lt;DN132,DN131,DN132)</f>
        <v>48.923716530328875</v>
      </c>
      <c r="DP131" s="3">
        <f t="shared" si="28"/>
        <v>48.923716530328875</v>
      </c>
      <c r="DQ131" s="3">
        <f t="shared" si="28"/>
        <v>48.923716530328875</v>
      </c>
      <c r="DR131" s="3">
        <f t="shared" si="28"/>
        <v>48.923716530328875</v>
      </c>
      <c r="DS131" s="3">
        <f t="shared" si="28"/>
        <v>48.923716530328875</v>
      </c>
      <c r="DT131" s="3">
        <f t="shared" si="28"/>
        <v>48.923716530328875</v>
      </c>
      <c r="DU131" s="3">
        <f t="shared" si="28"/>
        <v>48.923716530328875</v>
      </c>
      <c r="DV131" s="3">
        <f t="shared" si="28"/>
        <v>48.923716530328875</v>
      </c>
      <c r="DW131" s="3">
        <f t="shared" si="28"/>
        <v>48.923716530328875</v>
      </c>
      <c r="DX131" s="3">
        <f t="shared" si="28"/>
        <v>48.923716530328875</v>
      </c>
      <c r="DY131" s="3">
        <f t="shared" si="28"/>
        <v>48.923716530328875</v>
      </c>
      <c r="DZ131" s="3">
        <f t="shared" si="28"/>
        <v>48.923716530328875</v>
      </c>
      <c r="EA131" s="3">
        <f t="shared" si="28"/>
        <v>48.923716530328875</v>
      </c>
      <c r="EB131" s="3">
        <f t="shared" si="28"/>
        <v>48.923716530328875</v>
      </c>
      <c r="EC131" s="3">
        <f aca="true" t="shared" si="29" ref="EC131:EL131">IF(EB131&lt;EB132,EB131,EB132)</f>
        <v>48.923716530328875</v>
      </c>
      <c r="ED131" s="3">
        <f t="shared" si="29"/>
        <v>48.923716530328875</v>
      </c>
      <c r="EE131" s="3">
        <f t="shared" si="29"/>
        <v>48.923716530328875</v>
      </c>
      <c r="EF131" s="3">
        <f t="shared" si="29"/>
        <v>0</v>
      </c>
      <c r="EG131" s="3">
        <f t="shared" si="29"/>
        <v>0</v>
      </c>
      <c r="EH131" s="3">
        <f t="shared" si="29"/>
        <v>0</v>
      </c>
      <c r="EI131" s="3">
        <f t="shared" si="29"/>
        <v>0</v>
      </c>
      <c r="EJ131" s="3">
        <f t="shared" si="29"/>
        <v>0</v>
      </c>
      <c r="EK131" s="3">
        <f t="shared" si="29"/>
        <v>0</v>
      </c>
      <c r="EL131" s="3">
        <f t="shared" si="29"/>
        <v>0</v>
      </c>
      <c r="EM131" s="267">
        <f>IF(EL131=EM130,0,EM130)</f>
        <v>0</v>
      </c>
      <c r="EN131" s="267">
        <f aca="true" t="shared" si="30" ref="EN131:EN154">IF(BJ131=$EM$130,B131,0)</f>
        <v>0</v>
      </c>
      <c r="EO131" s="3">
        <f aca="true" t="shared" si="31" ref="EO131:EO154">IF(B131=$CF$119,BJ131,0)</f>
        <v>0</v>
      </c>
    </row>
    <row r="132" spans="1:145" s="3" customFormat="1" ht="15" customHeight="1">
      <c r="A132" s="3">
        <f aca="true" t="shared" si="32" ref="A132:A153">IF(D132=0,0,1)</f>
        <v>1</v>
      </c>
      <c r="B132" s="689">
        <v>3</v>
      </c>
      <c r="C132" s="689"/>
      <c r="D132" s="726">
        <f t="shared" si="8"/>
        <v>2657.3471463025003</v>
      </c>
      <c r="E132" s="726"/>
      <c r="F132" s="726"/>
      <c r="G132" s="726"/>
      <c r="H132" s="726"/>
      <c r="I132" s="726"/>
      <c r="J132" s="726"/>
      <c r="K132" s="726"/>
      <c r="L132" s="726"/>
      <c r="M132" s="726">
        <f t="shared" si="9"/>
        <v>1667.4365452916397</v>
      </c>
      <c r="N132" s="726"/>
      <c r="O132" s="726"/>
      <c r="P132" s="726"/>
      <c r="Q132" s="726"/>
      <c r="R132" s="726"/>
      <c r="S132" s="726"/>
      <c r="T132" s="726"/>
      <c r="U132" s="726"/>
      <c r="V132" s="726"/>
      <c r="W132" s="723">
        <f aca="true" t="shared" si="33" ref="W132:W154">IF(B132&lt;=$CF$120,CK132,0)</f>
        <v>212.18</v>
      </c>
      <c r="X132" s="723"/>
      <c r="Y132" s="723"/>
      <c r="Z132" s="723"/>
      <c r="AA132" s="723"/>
      <c r="AB132" s="723"/>
      <c r="AC132" s="723"/>
      <c r="AD132" s="723"/>
      <c r="AE132" s="723"/>
      <c r="AF132" s="723"/>
      <c r="AG132" s="723"/>
      <c r="AH132" s="723">
        <f t="shared" si="1"/>
        <v>1149.7347741630529</v>
      </c>
      <c r="AI132" s="723"/>
      <c r="AJ132" s="723"/>
      <c r="AK132" s="723"/>
      <c r="AL132" s="723"/>
      <c r="AM132" s="723"/>
      <c r="AN132" s="723"/>
      <c r="AO132" s="723"/>
      <c r="AP132" s="723"/>
      <c r="AQ132" s="723"/>
      <c r="AR132" s="723">
        <f aca="true" t="shared" si="34" ref="AR132:AR139">AR131</f>
        <v>692.0321576338398</v>
      </c>
      <c r="AS132" s="723"/>
      <c r="AT132" s="723"/>
      <c r="AU132" s="723"/>
      <c r="AV132" s="723"/>
      <c r="AW132" s="723"/>
      <c r="AX132" s="723"/>
      <c r="AY132" s="723"/>
      <c r="AZ132" s="723"/>
      <c r="BA132" s="723">
        <f t="shared" si="10"/>
        <v>-37.849613494747246</v>
      </c>
      <c r="BB132" s="723"/>
      <c r="BC132" s="723"/>
      <c r="BD132" s="723"/>
      <c r="BE132" s="723"/>
      <c r="BF132" s="723"/>
      <c r="BG132" s="723"/>
      <c r="BH132" s="723"/>
      <c r="BI132" s="723"/>
      <c r="BJ132" s="723">
        <f t="shared" si="2"/>
        <v>48.923716530328875</v>
      </c>
      <c r="BK132" s="723"/>
      <c r="BL132" s="723"/>
      <c r="BM132" s="723"/>
      <c r="BN132" s="723"/>
      <c r="BO132" s="723"/>
      <c r="BP132" s="723"/>
      <c r="BQ132" s="723"/>
      <c r="BR132" s="723">
        <f aca="true" t="shared" si="35" ref="BR132:BR154">D132-BA132</f>
        <v>2695.1967597972475</v>
      </c>
      <c r="BS132" s="723"/>
      <c r="BT132" s="723"/>
      <c r="BU132" s="723"/>
      <c r="BV132" s="723"/>
      <c r="BW132" s="723"/>
      <c r="BX132" s="723"/>
      <c r="BY132" s="723"/>
      <c r="BZ132" s="723"/>
      <c r="CA132" s="723"/>
      <c r="CB132" s="8"/>
      <c r="CC132" s="285">
        <f t="shared" si="3"/>
        <v>1038.5966460980069</v>
      </c>
      <c r="CD132" s="285">
        <f t="shared" si="11"/>
        <v>48.923716530328875</v>
      </c>
      <c r="CF132" s="285">
        <f t="shared" si="12"/>
        <v>1797.76</v>
      </c>
      <c r="CG132" s="285">
        <f t="shared" si="13"/>
        <v>859.5871463025002</v>
      </c>
      <c r="CH132" s="285">
        <f aca="true" t="shared" si="36" ref="CH132:CH155">CF132+CG132</f>
        <v>2657.3471463025003</v>
      </c>
      <c r="CI132" s="285">
        <f aca="true" t="shared" si="37" ref="CI132:CI154">CI131*$CG$125</f>
        <v>626.2093629709078</v>
      </c>
      <c r="CJ132" s="285"/>
      <c r="CK132" s="285">
        <f t="shared" si="14"/>
        <v>212.18</v>
      </c>
      <c r="CL132" s="285"/>
      <c r="CM132" s="286">
        <f t="shared" si="15"/>
        <v>245.39424000000002</v>
      </c>
      <c r="CN132" s="311">
        <f t="shared" si="16"/>
        <v>260.02511175650625</v>
      </c>
      <c r="CP132" s="285">
        <f t="shared" si="17"/>
        <v>505.4193517565063</v>
      </c>
      <c r="CQ132" s="285">
        <f aca="true" t="shared" si="38" ref="CQ132:CQ149">CQ131*$CG$123</f>
        <v>626.2093629709078</v>
      </c>
      <c r="CS132" s="285">
        <f t="shared" si="18"/>
        <v>1.016</v>
      </c>
      <c r="CT132" s="286">
        <f t="shared" si="19"/>
        <v>636.2287127784424</v>
      </c>
      <c r="CU132" s="311"/>
      <c r="CV132" s="312">
        <f t="shared" si="20"/>
        <v>513.5060613846103</v>
      </c>
      <c r="CW132" s="311">
        <f t="shared" si="21"/>
        <v>1149.7347741630529</v>
      </c>
      <c r="CY132" s="285">
        <f t="shared" si="22"/>
        <v>815.5802145056076</v>
      </c>
      <c r="CZ132" s="285">
        <f t="shared" si="4"/>
        <v>2483.0167597972472</v>
      </c>
      <c r="DA132" s="285">
        <f t="shared" si="23"/>
        <v>815.5802145056076</v>
      </c>
      <c r="DB132" s="3">
        <f t="shared" si="5"/>
        <v>1667.4365452916397</v>
      </c>
      <c r="DC132" s="3">
        <f t="shared" si="24"/>
        <v>1667.4365452916397</v>
      </c>
      <c r="DD132" s="3">
        <v>3</v>
      </c>
      <c r="DE132" s="285">
        <f aca="true" t="shared" si="39" ref="DE132:DF154">DE131</f>
        <v>454.25044150249994</v>
      </c>
      <c r="DF132" s="285">
        <f aca="true" t="shared" si="40" ref="DF132:DF149">DF131</f>
        <v>567.9903519010501</v>
      </c>
      <c r="DH132" s="286">
        <f t="shared" si="6"/>
        <v>461.5184485665399</v>
      </c>
      <c r="DI132" s="286">
        <f t="shared" si="25"/>
        <v>577.0781975314669</v>
      </c>
      <c r="DK132" s="286">
        <f t="shared" si="26"/>
        <v>1038.5966460980069</v>
      </c>
      <c r="DN132" s="3">
        <f t="shared" si="27"/>
        <v>48.923716530328875</v>
      </c>
      <c r="DO132" s="3">
        <f t="shared" si="28"/>
        <v>48.923716530328875</v>
      </c>
      <c r="DP132" s="3">
        <f t="shared" si="28"/>
        <v>48.923716530328875</v>
      </c>
      <c r="DQ132" s="3">
        <f t="shared" si="28"/>
        <v>48.923716530328875</v>
      </c>
      <c r="DR132" s="3">
        <f t="shared" si="28"/>
        <v>48.923716530328875</v>
      </c>
      <c r="DS132" s="3">
        <f t="shared" si="28"/>
        <v>48.923716530328875</v>
      </c>
      <c r="DT132" s="3">
        <f t="shared" si="28"/>
        <v>48.923716530328875</v>
      </c>
      <c r="DU132" s="3">
        <f t="shared" si="28"/>
        <v>48.923716530328875</v>
      </c>
      <c r="DV132" s="3">
        <f t="shared" si="28"/>
        <v>48.923716530328875</v>
      </c>
      <c r="DW132" s="3">
        <f t="shared" si="28"/>
        <v>48.923716530328875</v>
      </c>
      <c r="DX132" s="3">
        <f t="shared" si="28"/>
        <v>48.923716530328875</v>
      </c>
      <c r="DY132" s="3">
        <f t="shared" si="28"/>
        <v>48.923716530328875</v>
      </c>
      <c r="DZ132" s="3">
        <f t="shared" si="28"/>
        <v>48.923716530328875</v>
      </c>
      <c r="EA132" s="3">
        <f t="shared" si="28"/>
        <v>48.923716530328875</v>
      </c>
      <c r="EB132" s="3">
        <f t="shared" si="28"/>
        <v>48.923716530328875</v>
      </c>
      <c r="EC132" s="3">
        <f aca="true" t="shared" si="41" ref="EC132:EL132">IF(EB132&lt;EB133,EB132,EB133)</f>
        <v>48.923716530328875</v>
      </c>
      <c r="ED132" s="3">
        <f t="shared" si="41"/>
        <v>48.923716530328875</v>
      </c>
      <c r="EE132" s="3">
        <f t="shared" si="41"/>
        <v>0</v>
      </c>
      <c r="EF132" s="3">
        <f t="shared" si="41"/>
        <v>0</v>
      </c>
      <c r="EG132" s="3">
        <f t="shared" si="41"/>
        <v>0</v>
      </c>
      <c r="EH132" s="3">
        <f t="shared" si="41"/>
        <v>0</v>
      </c>
      <c r="EI132" s="3">
        <f t="shared" si="41"/>
        <v>0</v>
      </c>
      <c r="EJ132" s="3">
        <f t="shared" si="41"/>
        <v>0</v>
      </c>
      <c r="EK132" s="3">
        <f t="shared" si="41"/>
        <v>0</v>
      </c>
      <c r="EL132" s="3">
        <f t="shared" si="41"/>
        <v>0</v>
      </c>
      <c r="EM132" s="267">
        <f aca="true" t="shared" si="42" ref="EM132:EM154">IF(EL132=EM131,0,EM131)</f>
        <v>0</v>
      </c>
      <c r="EN132" s="267">
        <f t="shared" si="30"/>
        <v>0</v>
      </c>
      <c r="EO132" s="3">
        <f t="shared" si="31"/>
        <v>0</v>
      </c>
    </row>
    <row r="133" spans="1:145" s="3" customFormat="1" ht="15" customHeight="1">
      <c r="A133" s="3">
        <f t="shared" si="32"/>
        <v>1</v>
      </c>
      <c r="B133" s="689">
        <v>4</v>
      </c>
      <c r="C133" s="689"/>
      <c r="D133" s="726">
        <f t="shared" si="8"/>
        <v>2808.1921036176254</v>
      </c>
      <c r="E133" s="726"/>
      <c r="F133" s="726"/>
      <c r="G133" s="726"/>
      <c r="H133" s="726"/>
      <c r="I133" s="726"/>
      <c r="J133" s="726"/>
      <c r="K133" s="726"/>
      <c r="L133" s="726"/>
      <c r="M133" s="726">
        <f t="shared" si="9"/>
        <v>1667.4365452916397</v>
      </c>
      <c r="N133" s="726"/>
      <c r="O133" s="726"/>
      <c r="P133" s="726"/>
      <c r="Q133" s="726"/>
      <c r="R133" s="726"/>
      <c r="S133" s="726"/>
      <c r="T133" s="726"/>
      <c r="U133" s="726"/>
      <c r="V133" s="726"/>
      <c r="W133" s="723">
        <f t="shared" si="33"/>
        <v>218.5454</v>
      </c>
      <c r="X133" s="723"/>
      <c r="Y133" s="723"/>
      <c r="Z133" s="723"/>
      <c r="AA133" s="723"/>
      <c r="AB133" s="723"/>
      <c r="AC133" s="723"/>
      <c r="AD133" s="723"/>
      <c r="AE133" s="723"/>
      <c r="AF133" s="723"/>
      <c r="AG133" s="723"/>
      <c r="AH133" s="723">
        <f t="shared" si="1"/>
        <v>1207.3333901638778</v>
      </c>
      <c r="AI133" s="723"/>
      <c r="AJ133" s="723"/>
      <c r="AK133" s="723"/>
      <c r="AL133" s="723"/>
      <c r="AM133" s="723"/>
      <c r="AN133" s="723"/>
      <c r="AO133" s="723"/>
      <c r="AP133" s="723"/>
      <c r="AQ133" s="723"/>
      <c r="AR133" s="723">
        <f t="shared" si="34"/>
        <v>692.0321576338398</v>
      </c>
      <c r="AS133" s="723"/>
      <c r="AT133" s="723"/>
      <c r="AU133" s="723"/>
      <c r="AV133" s="723"/>
      <c r="AW133" s="723"/>
      <c r="AX133" s="723"/>
      <c r="AY133" s="723"/>
      <c r="AZ133" s="723"/>
      <c r="BA133" s="723">
        <f t="shared" si="10"/>
        <v>13.383602506077978</v>
      </c>
      <c r="BB133" s="723"/>
      <c r="BC133" s="723"/>
      <c r="BD133" s="723"/>
      <c r="BE133" s="723"/>
      <c r="BF133" s="723"/>
      <c r="BG133" s="723"/>
      <c r="BH133" s="723"/>
      <c r="BI133" s="723"/>
      <c r="BJ133" s="723">
        <f t="shared" si="2"/>
        <v>62.30731903640685</v>
      </c>
      <c r="BK133" s="723"/>
      <c r="BL133" s="723"/>
      <c r="BM133" s="723"/>
      <c r="BN133" s="723"/>
      <c r="BO133" s="723"/>
      <c r="BP133" s="723"/>
      <c r="BQ133" s="723"/>
      <c r="BR133" s="723">
        <f t="shared" si="35"/>
        <v>2794.8085011115472</v>
      </c>
      <c r="BS133" s="723"/>
      <c r="BT133" s="723"/>
      <c r="BU133" s="723"/>
      <c r="BV133" s="723"/>
      <c r="BW133" s="723"/>
      <c r="BX133" s="723"/>
      <c r="BY133" s="723"/>
      <c r="BZ133" s="723"/>
      <c r="CA133" s="723"/>
      <c r="CB133" s="8"/>
      <c r="CC133" s="285">
        <f t="shared" si="3"/>
        <v>1036.5521645111996</v>
      </c>
      <c r="CD133" s="285">
        <f t="shared" si="11"/>
        <v>62.30731903640685</v>
      </c>
      <c r="CF133" s="285">
        <f t="shared" si="12"/>
        <v>1905.6256</v>
      </c>
      <c r="CG133" s="285">
        <f t="shared" si="13"/>
        <v>902.5665036176252</v>
      </c>
      <c r="CH133" s="285">
        <f t="shared" si="36"/>
        <v>2808.1921036176254</v>
      </c>
      <c r="CI133" s="285">
        <f t="shared" si="37"/>
        <v>657.5198311194532</v>
      </c>
      <c r="CJ133" s="285"/>
      <c r="CK133" s="285">
        <f t="shared" si="14"/>
        <v>218.5454</v>
      </c>
      <c r="CL133" s="285"/>
      <c r="CM133" s="286">
        <f t="shared" si="15"/>
        <v>260.1178944</v>
      </c>
      <c r="CN133" s="311">
        <f t="shared" si="16"/>
        <v>273.02636734433156</v>
      </c>
      <c r="CP133" s="285">
        <f t="shared" si="17"/>
        <v>533.1442617443315</v>
      </c>
      <c r="CQ133" s="285">
        <f t="shared" si="38"/>
        <v>657.5198311194532</v>
      </c>
      <c r="CS133" s="285">
        <f t="shared" si="18"/>
        <v>1.014</v>
      </c>
      <c r="CT133" s="286">
        <f t="shared" si="19"/>
        <v>666.7251087551256</v>
      </c>
      <c r="CU133" s="311"/>
      <c r="CV133" s="312">
        <f t="shared" si="20"/>
        <v>540.6082814087522</v>
      </c>
      <c r="CW133" s="311">
        <f t="shared" si="21"/>
        <v>1207.3333901638778</v>
      </c>
      <c r="CY133" s="285">
        <f t="shared" si="22"/>
        <v>908.8265558199079</v>
      </c>
      <c r="CZ133" s="285">
        <f t="shared" si="4"/>
        <v>2576.2631011115477</v>
      </c>
      <c r="DA133" s="285">
        <f t="shared" si="23"/>
        <v>908.8265558199079</v>
      </c>
      <c r="DB133" s="3">
        <f t="shared" si="5"/>
        <v>1667.4365452916397</v>
      </c>
      <c r="DC133" s="3">
        <f t="shared" si="24"/>
        <v>1667.4365452916397</v>
      </c>
      <c r="DD133" s="3">
        <v>4</v>
      </c>
      <c r="DE133" s="285">
        <f t="shared" si="39"/>
        <v>454.25044150249994</v>
      </c>
      <c r="DF133" s="285">
        <f t="shared" si="40"/>
        <v>567.9903519010501</v>
      </c>
      <c r="DH133" s="286">
        <f t="shared" si="6"/>
        <v>460.6099476835349</v>
      </c>
      <c r="DI133" s="286">
        <f t="shared" si="25"/>
        <v>575.9422168276648</v>
      </c>
      <c r="DK133" s="286">
        <f t="shared" si="26"/>
        <v>1036.5521645111996</v>
      </c>
      <c r="DN133" s="3">
        <f t="shared" si="27"/>
        <v>62.30731903640685</v>
      </c>
      <c r="DO133" s="3">
        <f t="shared" si="28"/>
        <v>62.30731903640685</v>
      </c>
      <c r="DP133" s="3">
        <f t="shared" si="28"/>
        <v>62.30731903640685</v>
      </c>
      <c r="DQ133" s="3">
        <f t="shared" si="28"/>
        <v>62.30731903640685</v>
      </c>
      <c r="DR133" s="3">
        <f t="shared" si="28"/>
        <v>62.30731903640685</v>
      </c>
      <c r="DS133" s="3">
        <f t="shared" si="28"/>
        <v>62.30731903640685</v>
      </c>
      <c r="DT133" s="3">
        <f t="shared" si="28"/>
        <v>62.30731903640685</v>
      </c>
      <c r="DU133" s="3">
        <f t="shared" si="28"/>
        <v>62.30731903640685</v>
      </c>
      <c r="DV133" s="3">
        <f t="shared" si="28"/>
        <v>62.30731903640685</v>
      </c>
      <c r="DW133" s="3">
        <f t="shared" si="28"/>
        <v>62.30731903640685</v>
      </c>
      <c r="DX133" s="3">
        <f t="shared" si="28"/>
        <v>62.30731903640685</v>
      </c>
      <c r="DY133" s="3">
        <f t="shared" si="28"/>
        <v>62.30731903640685</v>
      </c>
      <c r="DZ133" s="3">
        <f t="shared" si="28"/>
        <v>62.30731903640685</v>
      </c>
      <c r="EA133" s="3">
        <f t="shared" si="28"/>
        <v>62.30731903640685</v>
      </c>
      <c r="EB133" s="3">
        <f t="shared" si="28"/>
        <v>62.30731903640685</v>
      </c>
      <c r="EC133" s="3">
        <f aca="true" t="shared" si="43" ref="EC133:EL133">IF(EB133&lt;EB134,EB133,EB134)</f>
        <v>62.30731903640685</v>
      </c>
      <c r="ED133" s="3">
        <f t="shared" si="43"/>
        <v>0</v>
      </c>
      <c r="EE133" s="3">
        <f t="shared" si="43"/>
        <v>0</v>
      </c>
      <c r="EF133" s="3">
        <f t="shared" si="43"/>
        <v>0</v>
      </c>
      <c r="EG133" s="3">
        <f t="shared" si="43"/>
        <v>0</v>
      </c>
      <c r="EH133" s="3">
        <f t="shared" si="43"/>
        <v>0</v>
      </c>
      <c r="EI133" s="3">
        <f t="shared" si="43"/>
        <v>0</v>
      </c>
      <c r="EJ133" s="3">
        <f t="shared" si="43"/>
        <v>0</v>
      </c>
      <c r="EK133" s="3">
        <f t="shared" si="43"/>
        <v>0</v>
      </c>
      <c r="EL133" s="3">
        <f t="shared" si="43"/>
        <v>0</v>
      </c>
      <c r="EM133" s="267">
        <f t="shared" si="42"/>
        <v>0</v>
      </c>
      <c r="EN133" s="267">
        <f t="shared" si="30"/>
        <v>0</v>
      </c>
      <c r="EO133" s="3">
        <f t="shared" si="31"/>
        <v>0</v>
      </c>
    </row>
    <row r="134" spans="1:145" s="3" customFormat="1" ht="15" customHeight="1">
      <c r="A134" s="3">
        <f t="shared" si="32"/>
        <v>1</v>
      </c>
      <c r="B134" s="689">
        <v>5</v>
      </c>
      <c r="C134" s="689"/>
      <c r="D134" s="726">
        <f t="shared" si="8"/>
        <v>2967.657964798507</v>
      </c>
      <c r="E134" s="726"/>
      <c r="F134" s="726"/>
      <c r="G134" s="726"/>
      <c r="H134" s="726"/>
      <c r="I134" s="726"/>
      <c r="J134" s="726"/>
      <c r="K134" s="726"/>
      <c r="L134" s="726"/>
      <c r="M134" s="726">
        <f t="shared" si="9"/>
        <v>1667.4365452916397</v>
      </c>
      <c r="N134" s="726"/>
      <c r="O134" s="726"/>
      <c r="P134" s="726"/>
      <c r="Q134" s="726"/>
      <c r="R134" s="726"/>
      <c r="S134" s="726"/>
      <c r="T134" s="726"/>
      <c r="U134" s="726"/>
      <c r="V134" s="726"/>
      <c r="W134" s="723">
        <f t="shared" si="33"/>
        <v>225.101762</v>
      </c>
      <c r="X134" s="723"/>
      <c r="Y134" s="723"/>
      <c r="Z134" s="723"/>
      <c r="AA134" s="723"/>
      <c r="AB134" s="723"/>
      <c r="AC134" s="723"/>
      <c r="AD134" s="723"/>
      <c r="AE134" s="723"/>
      <c r="AF134" s="723"/>
      <c r="AG134" s="723"/>
      <c r="AH134" s="723">
        <f t="shared" si="1"/>
        <v>1267.8320581683859</v>
      </c>
      <c r="AI134" s="723"/>
      <c r="AJ134" s="723"/>
      <c r="AK134" s="723"/>
      <c r="AL134" s="723"/>
      <c r="AM134" s="723"/>
      <c r="AN134" s="723"/>
      <c r="AO134" s="723"/>
      <c r="AP134" s="723"/>
      <c r="AQ134" s="723"/>
      <c r="AR134" s="723">
        <f t="shared" si="34"/>
        <v>692.0321576338398</v>
      </c>
      <c r="AS134" s="723"/>
      <c r="AT134" s="723"/>
      <c r="AU134" s="723"/>
      <c r="AV134" s="723"/>
      <c r="AW134" s="723"/>
      <c r="AX134" s="723"/>
      <c r="AY134" s="723"/>
      <c r="AZ134" s="723"/>
      <c r="BA134" s="723">
        <f t="shared" si="10"/>
        <v>67.32590851058603</v>
      </c>
      <c r="BB134" s="723"/>
      <c r="BC134" s="723"/>
      <c r="BD134" s="723"/>
      <c r="BE134" s="723"/>
      <c r="BF134" s="723"/>
      <c r="BG134" s="723"/>
      <c r="BH134" s="723"/>
      <c r="BI134" s="723"/>
      <c r="BJ134" s="723">
        <f t="shared" si="2"/>
        <v>129.63322754699288</v>
      </c>
      <c r="BK134" s="723"/>
      <c r="BL134" s="723"/>
      <c r="BM134" s="723"/>
      <c r="BN134" s="723"/>
      <c r="BO134" s="723"/>
      <c r="BP134" s="723"/>
      <c r="BQ134" s="723"/>
      <c r="BR134" s="723">
        <f t="shared" si="35"/>
        <v>2900.3320562879208</v>
      </c>
      <c r="BS134" s="723"/>
      <c r="BT134" s="723"/>
      <c r="BU134" s="723"/>
      <c r="BV134" s="723"/>
      <c r="BW134" s="723"/>
      <c r="BX134" s="723"/>
      <c r="BY134" s="723"/>
      <c r="BZ134" s="723"/>
      <c r="CA134" s="723"/>
      <c r="CB134" s="8"/>
      <c r="CC134" s="285">
        <f t="shared" si="3"/>
        <v>1034.5076829243926</v>
      </c>
      <c r="CD134" s="285">
        <f t="shared" si="11"/>
        <v>129.63322754699288</v>
      </c>
      <c r="CF134" s="285">
        <f t="shared" si="12"/>
        <v>2019.963136</v>
      </c>
      <c r="CG134" s="285">
        <f t="shared" si="13"/>
        <v>947.6948287985066</v>
      </c>
      <c r="CH134" s="285">
        <f t="shared" si="36"/>
        <v>2967.657964798507</v>
      </c>
      <c r="CI134" s="285">
        <f t="shared" si="37"/>
        <v>690.395822675426</v>
      </c>
      <c r="CJ134" s="285"/>
      <c r="CK134" s="285">
        <f t="shared" si="14"/>
        <v>225.101762</v>
      </c>
      <c r="CL134" s="285"/>
      <c r="CM134" s="286">
        <f t="shared" si="15"/>
        <v>275.72496806400005</v>
      </c>
      <c r="CN134" s="311">
        <f t="shared" si="16"/>
        <v>286.6776857115482</v>
      </c>
      <c r="CP134" s="285">
        <f t="shared" si="17"/>
        <v>562.4026537755483</v>
      </c>
      <c r="CQ134" s="285">
        <f t="shared" si="38"/>
        <v>690.395822675426</v>
      </c>
      <c r="CS134" s="285">
        <f t="shared" si="18"/>
        <v>1.012</v>
      </c>
      <c r="CT134" s="286">
        <f t="shared" si="19"/>
        <v>698.680572547531</v>
      </c>
      <c r="CU134" s="311"/>
      <c r="CV134" s="312">
        <f t="shared" si="20"/>
        <v>569.1514856208548</v>
      </c>
      <c r="CW134" s="311">
        <f t="shared" si="21"/>
        <v>1267.8320581683859</v>
      </c>
      <c r="CY134" s="285">
        <f t="shared" si="22"/>
        <v>1007.7937489962811</v>
      </c>
      <c r="CZ134" s="285">
        <f t="shared" si="4"/>
        <v>2675.230294287921</v>
      </c>
      <c r="DA134" s="285">
        <f t="shared" si="23"/>
        <v>1007.7937489962811</v>
      </c>
      <c r="DB134" s="3">
        <f t="shared" si="5"/>
        <v>1667.4365452916397</v>
      </c>
      <c r="DC134" s="3">
        <f t="shared" si="24"/>
        <v>1667.4365452916397</v>
      </c>
      <c r="DD134" s="3">
        <v>5</v>
      </c>
      <c r="DE134" s="285">
        <f t="shared" si="39"/>
        <v>454.25044150249994</v>
      </c>
      <c r="DF134" s="285">
        <f t="shared" si="40"/>
        <v>567.9903519010501</v>
      </c>
      <c r="DH134" s="286">
        <f t="shared" si="6"/>
        <v>459.70144680052994</v>
      </c>
      <c r="DI134" s="286">
        <f t="shared" si="25"/>
        <v>574.8062361238627</v>
      </c>
      <c r="DK134" s="286">
        <f t="shared" si="26"/>
        <v>1034.5076829243926</v>
      </c>
      <c r="DN134" s="3">
        <f t="shared" si="27"/>
        <v>129.63322754699288</v>
      </c>
      <c r="DO134" s="3">
        <f t="shared" si="28"/>
        <v>129.63322754699288</v>
      </c>
      <c r="DP134" s="3">
        <f t="shared" si="28"/>
        <v>129.63322754699288</v>
      </c>
      <c r="DQ134" s="3">
        <f t="shared" si="28"/>
        <v>129.63322754699288</v>
      </c>
      <c r="DR134" s="3">
        <f t="shared" si="28"/>
        <v>129.63322754699288</v>
      </c>
      <c r="DS134" s="3">
        <f t="shared" si="28"/>
        <v>129.63322754699288</v>
      </c>
      <c r="DT134" s="3">
        <f t="shared" si="28"/>
        <v>129.63322754699288</v>
      </c>
      <c r="DU134" s="3">
        <f t="shared" si="28"/>
        <v>129.63322754699288</v>
      </c>
      <c r="DV134" s="3">
        <f t="shared" si="28"/>
        <v>129.63322754699288</v>
      </c>
      <c r="DW134" s="3">
        <f t="shared" si="28"/>
        <v>129.63322754699288</v>
      </c>
      <c r="DX134" s="3">
        <f t="shared" si="28"/>
        <v>129.63322754699288</v>
      </c>
      <c r="DY134" s="3">
        <f t="shared" si="28"/>
        <v>129.63322754699288</v>
      </c>
      <c r="DZ134" s="3">
        <f t="shared" si="28"/>
        <v>129.63322754699288</v>
      </c>
      <c r="EA134" s="3">
        <f t="shared" si="28"/>
        <v>129.63322754699288</v>
      </c>
      <c r="EB134" s="3">
        <f t="shared" si="28"/>
        <v>129.63322754699288</v>
      </c>
      <c r="EC134" s="3">
        <f aca="true" t="shared" si="44" ref="EC134:EL134">IF(EB134&lt;EB135,EB134,EB135)</f>
        <v>0</v>
      </c>
      <c r="ED134" s="3">
        <f t="shared" si="44"/>
        <v>0</v>
      </c>
      <c r="EE134" s="3">
        <f t="shared" si="44"/>
        <v>0</v>
      </c>
      <c r="EF134" s="3">
        <f t="shared" si="44"/>
        <v>0</v>
      </c>
      <c r="EG134" s="3">
        <f t="shared" si="44"/>
        <v>0</v>
      </c>
      <c r="EH134" s="3">
        <f t="shared" si="44"/>
        <v>0</v>
      </c>
      <c r="EI134" s="3">
        <f t="shared" si="44"/>
        <v>0</v>
      </c>
      <c r="EJ134" s="3">
        <f t="shared" si="44"/>
        <v>0</v>
      </c>
      <c r="EK134" s="3">
        <f t="shared" si="44"/>
        <v>0</v>
      </c>
      <c r="EL134" s="3">
        <f t="shared" si="44"/>
        <v>0</v>
      </c>
      <c r="EM134" s="267">
        <f t="shared" si="42"/>
        <v>0</v>
      </c>
      <c r="EN134" s="267">
        <f t="shared" si="30"/>
        <v>0</v>
      </c>
      <c r="EO134" s="3">
        <f t="shared" si="31"/>
        <v>0</v>
      </c>
    </row>
    <row r="135" spans="1:145" s="3" customFormat="1" ht="15" customHeight="1">
      <c r="A135" s="3">
        <f t="shared" si="32"/>
        <v>1</v>
      </c>
      <c r="B135" s="689">
        <v>6</v>
      </c>
      <c r="C135" s="689"/>
      <c r="D135" s="726">
        <f t="shared" si="8"/>
        <v>3136.2404943984325</v>
      </c>
      <c r="E135" s="726"/>
      <c r="F135" s="726"/>
      <c r="G135" s="726"/>
      <c r="H135" s="726"/>
      <c r="I135" s="726"/>
      <c r="J135" s="726"/>
      <c r="K135" s="726"/>
      <c r="L135" s="726"/>
      <c r="M135" s="726">
        <f t="shared" si="9"/>
        <v>1667.4365452916397</v>
      </c>
      <c r="N135" s="726"/>
      <c r="O135" s="726"/>
      <c r="P135" s="726"/>
      <c r="Q135" s="726"/>
      <c r="R135" s="726"/>
      <c r="S135" s="726"/>
      <c r="T135" s="726"/>
      <c r="U135" s="726"/>
      <c r="V135" s="726"/>
      <c r="W135" s="723">
        <f t="shared" si="33"/>
        <v>231.85481486</v>
      </c>
      <c r="X135" s="723"/>
      <c r="Y135" s="723"/>
      <c r="Z135" s="723"/>
      <c r="AA135" s="723"/>
      <c r="AB135" s="723"/>
      <c r="AC135" s="723"/>
      <c r="AD135" s="723"/>
      <c r="AE135" s="723"/>
      <c r="AF135" s="723"/>
      <c r="AG135" s="723"/>
      <c r="AH135" s="723">
        <f t="shared" si="1"/>
        <v>1331.3776064537046</v>
      </c>
      <c r="AI135" s="723"/>
      <c r="AJ135" s="723"/>
      <c r="AK135" s="723"/>
      <c r="AL135" s="723"/>
      <c r="AM135" s="723"/>
      <c r="AN135" s="723"/>
      <c r="AO135" s="723"/>
      <c r="AP135" s="723"/>
      <c r="AQ135" s="723"/>
      <c r="AR135" s="723">
        <f t="shared" si="34"/>
        <v>692.0321576338398</v>
      </c>
      <c r="AS135" s="723"/>
      <c r="AT135" s="723"/>
      <c r="AU135" s="723"/>
      <c r="AV135" s="723"/>
      <c r="AW135" s="723"/>
      <c r="AX135" s="723"/>
      <c r="AY135" s="723"/>
      <c r="AZ135" s="723"/>
      <c r="BA135" s="723">
        <f t="shared" si="10"/>
        <v>124.11840393590455</v>
      </c>
      <c r="BB135" s="723"/>
      <c r="BC135" s="723"/>
      <c r="BD135" s="723"/>
      <c r="BE135" s="723"/>
      <c r="BF135" s="723"/>
      <c r="BG135" s="723"/>
      <c r="BH135" s="723"/>
      <c r="BI135" s="723"/>
      <c r="BJ135" s="723">
        <f t="shared" si="2"/>
        <v>253.75163148289744</v>
      </c>
      <c r="BK135" s="723"/>
      <c r="BL135" s="723"/>
      <c r="BM135" s="723"/>
      <c r="BN135" s="723"/>
      <c r="BO135" s="723"/>
      <c r="BP135" s="723"/>
      <c r="BQ135" s="723"/>
      <c r="BR135" s="723">
        <f t="shared" si="35"/>
        <v>3012.122090462528</v>
      </c>
      <c r="BS135" s="723"/>
      <c r="BT135" s="723"/>
      <c r="BU135" s="723"/>
      <c r="BV135" s="723"/>
      <c r="BW135" s="723"/>
      <c r="BX135" s="723"/>
      <c r="BY135" s="723"/>
      <c r="BZ135" s="723"/>
      <c r="CA135" s="723"/>
      <c r="CB135" s="8"/>
      <c r="CC135" s="285">
        <f t="shared" si="3"/>
        <v>1032.4632013375856</v>
      </c>
      <c r="CD135" s="285">
        <f t="shared" si="11"/>
        <v>253.75163148289744</v>
      </c>
      <c r="CF135" s="285">
        <f t="shared" si="12"/>
        <v>2141.1609241600004</v>
      </c>
      <c r="CG135" s="285">
        <f t="shared" si="13"/>
        <v>995.079570238432</v>
      </c>
      <c r="CH135" s="285">
        <f t="shared" si="36"/>
        <v>3136.2404943984325</v>
      </c>
      <c r="CI135" s="285">
        <f t="shared" si="37"/>
        <v>724.9156138091973</v>
      </c>
      <c r="CJ135" s="285"/>
      <c r="CK135" s="285">
        <f t="shared" si="14"/>
        <v>231.85481486</v>
      </c>
      <c r="CL135" s="285"/>
      <c r="CM135" s="286">
        <f t="shared" si="15"/>
        <v>292.26846614784006</v>
      </c>
      <c r="CN135" s="311">
        <f t="shared" si="16"/>
        <v>301.0115699971256</v>
      </c>
      <c r="CP135" s="285">
        <f t="shared" si="17"/>
        <v>593.2800361449656</v>
      </c>
      <c r="CQ135" s="285">
        <f t="shared" si="38"/>
        <v>724.9156138091973</v>
      </c>
      <c r="CS135" s="285">
        <f t="shared" si="18"/>
        <v>1.01</v>
      </c>
      <c r="CT135" s="286">
        <f t="shared" si="19"/>
        <v>732.1647699472893</v>
      </c>
      <c r="CU135" s="311"/>
      <c r="CV135" s="312">
        <f t="shared" si="20"/>
        <v>599.2128365064152</v>
      </c>
      <c r="CW135" s="311">
        <f t="shared" si="21"/>
        <v>1331.3776064537046</v>
      </c>
      <c r="CY135" s="285">
        <f t="shared" si="22"/>
        <v>1112.8307303108882</v>
      </c>
      <c r="CZ135" s="285">
        <f t="shared" si="4"/>
        <v>2780.2672756025277</v>
      </c>
      <c r="DA135" s="285">
        <f t="shared" si="23"/>
        <v>1112.8307303108882</v>
      </c>
      <c r="DB135" s="3">
        <f t="shared" si="5"/>
        <v>1667.4365452916397</v>
      </c>
      <c r="DC135" s="3">
        <f t="shared" si="24"/>
        <v>1667.4365452916397</v>
      </c>
      <c r="DD135" s="3">
        <v>6</v>
      </c>
      <c r="DE135" s="285">
        <f t="shared" si="39"/>
        <v>454.25044150249994</v>
      </c>
      <c r="DF135" s="285">
        <f t="shared" si="40"/>
        <v>567.9903519010501</v>
      </c>
      <c r="DH135" s="286">
        <f t="shared" si="6"/>
        <v>458.79294591752495</v>
      </c>
      <c r="DI135" s="286">
        <f t="shared" si="25"/>
        <v>573.6702554200606</v>
      </c>
      <c r="DK135" s="286">
        <f t="shared" si="26"/>
        <v>1032.4632013375856</v>
      </c>
      <c r="DN135" s="3">
        <f t="shared" si="27"/>
        <v>253.75163148289744</v>
      </c>
      <c r="DO135" s="3">
        <f t="shared" si="28"/>
        <v>253.75163148289744</v>
      </c>
      <c r="DP135" s="3">
        <f t="shared" si="28"/>
        <v>253.75163148289744</v>
      </c>
      <c r="DQ135" s="3">
        <f t="shared" si="28"/>
        <v>253.75163148289744</v>
      </c>
      <c r="DR135" s="3">
        <f t="shared" si="28"/>
        <v>253.75163148289744</v>
      </c>
      <c r="DS135" s="3">
        <f t="shared" si="28"/>
        <v>253.75163148289744</v>
      </c>
      <c r="DT135" s="3">
        <f t="shared" si="28"/>
        <v>253.75163148289744</v>
      </c>
      <c r="DU135" s="3">
        <f t="shared" si="28"/>
        <v>253.75163148289744</v>
      </c>
      <c r="DV135" s="3">
        <f t="shared" si="28"/>
        <v>253.75163148289744</v>
      </c>
      <c r="DW135" s="3">
        <f t="shared" si="28"/>
        <v>253.75163148289744</v>
      </c>
      <c r="DX135" s="3">
        <f t="shared" si="28"/>
        <v>253.75163148289744</v>
      </c>
      <c r="DY135" s="3">
        <f t="shared" si="28"/>
        <v>253.75163148289744</v>
      </c>
      <c r="DZ135" s="3">
        <f t="shared" si="28"/>
        <v>253.75163148289744</v>
      </c>
      <c r="EA135" s="3">
        <f t="shared" si="28"/>
        <v>253.75163148289744</v>
      </c>
      <c r="EB135" s="3">
        <f t="shared" si="28"/>
        <v>0</v>
      </c>
      <c r="EC135" s="3">
        <f aca="true" t="shared" si="45" ref="EC135:EL135">IF(EB135&lt;EB136,EB135,EB136)</f>
        <v>0</v>
      </c>
      <c r="ED135" s="3">
        <f t="shared" si="45"/>
        <v>0</v>
      </c>
      <c r="EE135" s="3">
        <f t="shared" si="45"/>
        <v>0</v>
      </c>
      <c r="EF135" s="3">
        <f t="shared" si="45"/>
        <v>0</v>
      </c>
      <c r="EG135" s="3">
        <f t="shared" si="45"/>
        <v>0</v>
      </c>
      <c r="EH135" s="3">
        <f t="shared" si="45"/>
        <v>0</v>
      </c>
      <c r="EI135" s="3">
        <f t="shared" si="45"/>
        <v>0</v>
      </c>
      <c r="EJ135" s="3">
        <f t="shared" si="45"/>
        <v>0</v>
      </c>
      <c r="EK135" s="3">
        <f t="shared" si="45"/>
        <v>0</v>
      </c>
      <c r="EL135" s="3">
        <f t="shared" si="45"/>
        <v>0</v>
      </c>
      <c r="EM135" s="267">
        <f t="shared" si="42"/>
        <v>0</v>
      </c>
      <c r="EN135" s="267">
        <f t="shared" si="30"/>
        <v>0</v>
      </c>
      <c r="EO135" s="3">
        <f t="shared" si="31"/>
        <v>0</v>
      </c>
    </row>
    <row r="136" spans="1:145" s="3" customFormat="1" ht="15" customHeight="1">
      <c r="A136" s="3">
        <f t="shared" si="32"/>
        <v>1</v>
      </c>
      <c r="B136" s="689">
        <v>7</v>
      </c>
      <c r="C136" s="689"/>
      <c r="D136" s="726">
        <f t="shared" si="8"/>
        <v>3314.464128359954</v>
      </c>
      <c r="E136" s="726"/>
      <c r="F136" s="726"/>
      <c r="G136" s="726"/>
      <c r="H136" s="726"/>
      <c r="I136" s="726"/>
      <c r="J136" s="726"/>
      <c r="K136" s="726"/>
      <c r="L136" s="726"/>
      <c r="M136" s="726">
        <f t="shared" si="9"/>
        <v>1667.4365452916397</v>
      </c>
      <c r="N136" s="726"/>
      <c r="O136" s="726"/>
      <c r="P136" s="726"/>
      <c r="Q136" s="726"/>
      <c r="R136" s="726"/>
      <c r="S136" s="726"/>
      <c r="T136" s="726"/>
      <c r="U136" s="726"/>
      <c r="V136" s="726"/>
      <c r="W136" s="723">
        <f t="shared" si="33"/>
        <v>238.8104593058</v>
      </c>
      <c r="X136" s="723"/>
      <c r="Y136" s="723"/>
      <c r="Z136" s="723"/>
      <c r="AA136" s="723"/>
      <c r="AB136" s="723"/>
      <c r="AC136" s="723"/>
      <c r="AD136" s="723"/>
      <c r="AE136" s="723"/>
      <c r="AF136" s="723"/>
      <c r="AG136" s="723"/>
      <c r="AH136" s="723">
        <f t="shared" si="1"/>
        <v>1398.1243420502565</v>
      </c>
      <c r="AI136" s="723"/>
      <c r="AJ136" s="723"/>
      <c r="AK136" s="723"/>
      <c r="AL136" s="723"/>
      <c r="AM136" s="723"/>
      <c r="AN136" s="723"/>
      <c r="AO136" s="723"/>
      <c r="AP136" s="723"/>
      <c r="AQ136" s="723"/>
      <c r="AR136" s="723">
        <f t="shared" si="34"/>
        <v>692.0321576338398</v>
      </c>
      <c r="AS136" s="723"/>
      <c r="AT136" s="723"/>
      <c r="AU136" s="723"/>
      <c r="AV136" s="723"/>
      <c r="AW136" s="723"/>
      <c r="AX136" s="723"/>
      <c r="AY136" s="723"/>
      <c r="AZ136" s="723"/>
      <c r="BA136" s="723">
        <f t="shared" si="10"/>
        <v>183.9094950866563</v>
      </c>
      <c r="BB136" s="723"/>
      <c r="BC136" s="723"/>
      <c r="BD136" s="723"/>
      <c r="BE136" s="723"/>
      <c r="BF136" s="723"/>
      <c r="BG136" s="723"/>
      <c r="BH136" s="723"/>
      <c r="BI136" s="723"/>
      <c r="BJ136" s="723">
        <f t="shared" si="2"/>
        <v>437.66112656955374</v>
      </c>
      <c r="BK136" s="723"/>
      <c r="BL136" s="723"/>
      <c r="BM136" s="723"/>
      <c r="BN136" s="723"/>
      <c r="BO136" s="723"/>
      <c r="BP136" s="723"/>
      <c r="BQ136" s="723"/>
      <c r="BR136" s="723">
        <f t="shared" si="35"/>
        <v>3130.5546332732974</v>
      </c>
      <c r="BS136" s="723"/>
      <c r="BT136" s="723"/>
      <c r="BU136" s="723"/>
      <c r="BV136" s="723"/>
      <c r="BW136" s="723"/>
      <c r="BX136" s="723"/>
      <c r="BY136" s="723"/>
      <c r="BZ136" s="723"/>
      <c r="CA136" s="723"/>
      <c r="CB136" s="8"/>
      <c r="CC136" s="285">
        <f t="shared" si="3"/>
        <v>1030.4187197507783</v>
      </c>
      <c r="CD136" s="285">
        <f t="shared" si="11"/>
        <v>437.66112656955374</v>
      </c>
      <c r="CF136" s="285">
        <f t="shared" si="12"/>
        <v>2269.6305796096003</v>
      </c>
      <c r="CG136" s="285">
        <f t="shared" si="13"/>
        <v>1044.8335487503537</v>
      </c>
      <c r="CH136" s="285">
        <f t="shared" si="36"/>
        <v>3314.464128359954</v>
      </c>
      <c r="CI136" s="285">
        <f t="shared" si="37"/>
        <v>761.1613944996573</v>
      </c>
      <c r="CJ136" s="285"/>
      <c r="CK136" s="285">
        <f t="shared" si="14"/>
        <v>238.8104593058</v>
      </c>
      <c r="CL136" s="285"/>
      <c r="CM136" s="286">
        <f t="shared" si="15"/>
        <v>309.80457411671046</v>
      </c>
      <c r="CN136" s="311">
        <f t="shared" si="16"/>
        <v>316.0621484969819</v>
      </c>
      <c r="CP136" s="285">
        <f t="shared" si="17"/>
        <v>625.8667226136923</v>
      </c>
      <c r="CQ136" s="285">
        <f t="shared" si="38"/>
        <v>761.1613944996573</v>
      </c>
      <c r="CS136" s="285">
        <f t="shared" si="18"/>
        <v>1.008</v>
      </c>
      <c r="CT136" s="286">
        <f t="shared" si="19"/>
        <v>767.2506856556545</v>
      </c>
      <c r="CU136" s="311"/>
      <c r="CV136" s="312">
        <f t="shared" si="20"/>
        <v>630.8736563946019</v>
      </c>
      <c r="CW136" s="311">
        <f t="shared" si="21"/>
        <v>1398.1243420502565</v>
      </c>
      <c r="CY136" s="285">
        <f t="shared" si="22"/>
        <v>1224.3076286758578</v>
      </c>
      <c r="CZ136" s="285">
        <f t="shared" si="4"/>
        <v>2891.7441739674978</v>
      </c>
      <c r="DA136" s="285">
        <f t="shared" si="23"/>
        <v>1224.3076286758578</v>
      </c>
      <c r="DB136" s="3">
        <f t="shared" si="5"/>
        <v>1667.4365452916397</v>
      </c>
      <c r="DC136" s="3">
        <f t="shared" si="24"/>
        <v>1667.4365452916397</v>
      </c>
      <c r="DD136" s="3">
        <v>7</v>
      </c>
      <c r="DE136" s="285">
        <f t="shared" si="39"/>
        <v>454.25044150249994</v>
      </c>
      <c r="DF136" s="285">
        <f t="shared" si="40"/>
        <v>567.9903519010501</v>
      </c>
      <c r="DH136" s="286">
        <f t="shared" si="6"/>
        <v>457.88444503451996</v>
      </c>
      <c r="DI136" s="286">
        <f t="shared" si="25"/>
        <v>572.5342747162584</v>
      </c>
      <c r="DK136" s="286">
        <f t="shared" si="26"/>
        <v>1030.4187197507783</v>
      </c>
      <c r="DN136" s="3">
        <f t="shared" si="27"/>
        <v>437.66112656955374</v>
      </c>
      <c r="DO136" s="3">
        <f t="shared" si="28"/>
        <v>437.66112656955374</v>
      </c>
      <c r="DP136" s="3">
        <f t="shared" si="28"/>
        <v>437.66112656955374</v>
      </c>
      <c r="DQ136" s="3">
        <f t="shared" si="28"/>
        <v>437.66112656955374</v>
      </c>
      <c r="DR136" s="3">
        <f t="shared" si="28"/>
        <v>437.66112656955374</v>
      </c>
      <c r="DS136" s="3">
        <f t="shared" si="28"/>
        <v>437.66112656955374</v>
      </c>
      <c r="DT136" s="3">
        <f t="shared" si="28"/>
        <v>437.66112656955374</v>
      </c>
      <c r="DU136" s="3">
        <f t="shared" si="28"/>
        <v>437.66112656955374</v>
      </c>
      <c r="DV136" s="3">
        <f t="shared" si="28"/>
        <v>437.66112656955374</v>
      </c>
      <c r="DW136" s="3">
        <f t="shared" si="28"/>
        <v>437.66112656955374</v>
      </c>
      <c r="DX136" s="3">
        <f t="shared" si="28"/>
        <v>437.66112656955374</v>
      </c>
      <c r="DY136" s="3">
        <f t="shared" si="28"/>
        <v>437.66112656955374</v>
      </c>
      <c r="DZ136" s="3">
        <f t="shared" si="28"/>
        <v>437.66112656955374</v>
      </c>
      <c r="EA136" s="3">
        <f t="shared" si="28"/>
        <v>0</v>
      </c>
      <c r="EB136" s="3">
        <f t="shared" si="28"/>
        <v>0</v>
      </c>
      <c r="EC136" s="3">
        <f aca="true" t="shared" si="46" ref="EC136:EL136">IF(EB136&lt;EB137,EB136,EB137)</f>
        <v>0</v>
      </c>
      <c r="ED136" s="3">
        <f t="shared" si="46"/>
        <v>0</v>
      </c>
      <c r="EE136" s="3">
        <f t="shared" si="46"/>
        <v>0</v>
      </c>
      <c r="EF136" s="3">
        <f t="shared" si="46"/>
        <v>0</v>
      </c>
      <c r="EG136" s="3">
        <f t="shared" si="46"/>
        <v>0</v>
      </c>
      <c r="EH136" s="3">
        <f t="shared" si="46"/>
        <v>0</v>
      </c>
      <c r="EI136" s="3">
        <f t="shared" si="46"/>
        <v>0</v>
      </c>
      <c r="EJ136" s="3">
        <f t="shared" si="46"/>
        <v>0</v>
      </c>
      <c r="EK136" s="3">
        <f t="shared" si="46"/>
        <v>0</v>
      </c>
      <c r="EL136" s="3">
        <f t="shared" si="46"/>
        <v>0</v>
      </c>
      <c r="EM136" s="267">
        <f t="shared" si="42"/>
        <v>0</v>
      </c>
      <c r="EN136" s="267">
        <f t="shared" si="30"/>
        <v>0</v>
      </c>
      <c r="EO136" s="3">
        <f t="shared" si="31"/>
        <v>0</v>
      </c>
    </row>
    <row r="137" spans="1:145" s="3" customFormat="1" ht="15" customHeight="1">
      <c r="A137" s="3">
        <f t="shared" si="32"/>
        <v>1</v>
      </c>
      <c r="B137" s="689">
        <v>8</v>
      </c>
      <c r="C137" s="689"/>
      <c r="D137" s="726">
        <f t="shared" si="8"/>
        <v>3502.8836405740476</v>
      </c>
      <c r="E137" s="726"/>
      <c r="F137" s="726"/>
      <c r="G137" s="726"/>
      <c r="H137" s="726"/>
      <c r="I137" s="726"/>
      <c r="J137" s="726"/>
      <c r="K137" s="726"/>
      <c r="L137" s="726"/>
      <c r="M137" s="726">
        <f t="shared" si="9"/>
        <v>1667.4365452916397</v>
      </c>
      <c r="N137" s="726"/>
      <c r="O137" s="726"/>
      <c r="P137" s="726"/>
      <c r="Q137" s="726"/>
      <c r="R137" s="726"/>
      <c r="S137" s="726"/>
      <c r="T137" s="726"/>
      <c r="U137" s="726"/>
      <c r="V137" s="726"/>
      <c r="W137" s="723">
        <f t="shared" si="33"/>
        <v>245.974773084974</v>
      </c>
      <c r="X137" s="723"/>
      <c r="Y137" s="723"/>
      <c r="Z137" s="723"/>
      <c r="AA137" s="723"/>
      <c r="AB137" s="723"/>
      <c r="AC137" s="723"/>
      <c r="AD137" s="723"/>
      <c r="AE137" s="723"/>
      <c r="AF137" s="723"/>
      <c r="AG137" s="723"/>
      <c r="AH137" s="723">
        <f t="shared" si="1"/>
        <v>1468.2344341224452</v>
      </c>
      <c r="AI137" s="723"/>
      <c r="AJ137" s="723"/>
      <c r="AK137" s="723"/>
      <c r="AL137" s="723"/>
      <c r="AM137" s="723"/>
      <c r="AN137" s="723"/>
      <c r="AO137" s="723"/>
      <c r="AP137" s="723"/>
      <c r="AQ137" s="723"/>
      <c r="AR137" s="723">
        <f t="shared" si="34"/>
        <v>692.0321576338398</v>
      </c>
      <c r="AS137" s="723"/>
      <c r="AT137" s="723"/>
      <c r="AU137" s="723"/>
      <c r="AV137" s="723"/>
      <c r="AW137" s="723"/>
      <c r="AX137" s="723"/>
      <c r="AY137" s="723"/>
      <c r="AZ137" s="723"/>
      <c r="BA137" s="723">
        <f t="shared" si="10"/>
        <v>246.8552733796712</v>
      </c>
      <c r="BB137" s="723"/>
      <c r="BC137" s="723"/>
      <c r="BD137" s="723"/>
      <c r="BE137" s="723"/>
      <c r="BF137" s="723"/>
      <c r="BG137" s="723"/>
      <c r="BH137" s="723"/>
      <c r="BI137" s="723"/>
      <c r="BJ137" s="723">
        <f t="shared" si="2"/>
        <v>684.5163999492249</v>
      </c>
      <c r="BK137" s="723"/>
      <c r="BL137" s="723"/>
      <c r="BM137" s="723"/>
      <c r="BN137" s="723"/>
      <c r="BO137" s="723"/>
      <c r="BP137" s="723"/>
      <c r="BQ137" s="723"/>
      <c r="BR137" s="723">
        <f t="shared" si="35"/>
        <v>3256.028367194376</v>
      </c>
      <c r="BS137" s="723"/>
      <c r="BT137" s="723"/>
      <c r="BU137" s="723"/>
      <c r="BV137" s="723"/>
      <c r="BW137" s="723"/>
      <c r="BX137" s="723"/>
      <c r="BY137" s="723"/>
      <c r="BZ137" s="723"/>
      <c r="CA137" s="723"/>
      <c r="CB137" s="8"/>
      <c r="CC137" s="285">
        <f t="shared" si="3"/>
        <v>1028.3742381639713</v>
      </c>
      <c r="CD137" s="285">
        <f t="shared" si="11"/>
        <v>684.5163999492249</v>
      </c>
      <c r="CF137" s="285">
        <f t="shared" si="12"/>
        <v>2405.8084143861765</v>
      </c>
      <c r="CG137" s="285">
        <f t="shared" si="13"/>
        <v>1097.0752261878713</v>
      </c>
      <c r="CH137" s="285">
        <f t="shared" si="36"/>
        <v>3502.8836405740476</v>
      </c>
      <c r="CI137" s="285">
        <f t="shared" si="37"/>
        <v>799.2194642246402</v>
      </c>
      <c r="CJ137" s="285"/>
      <c r="CK137" s="285">
        <f t="shared" si="14"/>
        <v>245.974773084974</v>
      </c>
      <c r="CL137" s="285"/>
      <c r="CM137" s="286">
        <f t="shared" si="15"/>
        <v>328.3928485637131</v>
      </c>
      <c r="CN137" s="311">
        <f t="shared" si="16"/>
        <v>331.86525592183096</v>
      </c>
      <c r="CP137" s="285">
        <f t="shared" si="17"/>
        <v>660.258104485544</v>
      </c>
      <c r="CQ137" s="285">
        <f t="shared" si="38"/>
        <v>799.2194642246402</v>
      </c>
      <c r="CS137" s="285">
        <f t="shared" si="18"/>
        <v>1.006</v>
      </c>
      <c r="CT137" s="286">
        <f t="shared" si="19"/>
        <v>804.014781009988</v>
      </c>
      <c r="CU137" s="311"/>
      <c r="CV137" s="312">
        <f t="shared" si="20"/>
        <v>664.2196531124572</v>
      </c>
      <c r="CW137" s="311">
        <f t="shared" si="21"/>
        <v>1468.2344341224452</v>
      </c>
      <c r="CY137" s="285">
        <f t="shared" si="22"/>
        <v>1342.6170488177627</v>
      </c>
      <c r="CZ137" s="285">
        <f t="shared" si="4"/>
        <v>3010.053594109402</v>
      </c>
      <c r="DA137" s="285">
        <f t="shared" si="23"/>
        <v>1342.6170488177627</v>
      </c>
      <c r="DB137" s="3">
        <f t="shared" si="5"/>
        <v>1667.4365452916397</v>
      </c>
      <c r="DC137" s="3">
        <f t="shared" si="24"/>
        <v>1667.4365452916397</v>
      </c>
      <c r="DD137" s="3">
        <v>8</v>
      </c>
      <c r="DE137" s="285">
        <f t="shared" si="39"/>
        <v>454.25044150249994</v>
      </c>
      <c r="DF137" s="285">
        <f t="shared" si="40"/>
        <v>567.9903519010501</v>
      </c>
      <c r="DH137" s="286">
        <f t="shared" si="6"/>
        <v>456.97594415151497</v>
      </c>
      <c r="DI137" s="286">
        <f t="shared" si="25"/>
        <v>571.3982940124564</v>
      </c>
      <c r="DK137" s="286">
        <f t="shared" si="26"/>
        <v>1028.3742381639713</v>
      </c>
      <c r="DN137" s="3">
        <f t="shared" si="27"/>
        <v>684.5163999492249</v>
      </c>
      <c r="DO137" s="3">
        <f t="shared" si="28"/>
        <v>684.5163999492249</v>
      </c>
      <c r="DP137" s="3">
        <f t="shared" si="28"/>
        <v>684.5163999492249</v>
      </c>
      <c r="DQ137" s="3">
        <f t="shared" si="28"/>
        <v>684.5163999492249</v>
      </c>
      <c r="DR137" s="3">
        <f t="shared" si="28"/>
        <v>684.5163999492249</v>
      </c>
      <c r="DS137" s="3">
        <f t="shared" si="28"/>
        <v>684.5163999492249</v>
      </c>
      <c r="DT137" s="3">
        <f t="shared" si="28"/>
        <v>684.5163999492249</v>
      </c>
      <c r="DU137" s="3">
        <f t="shared" si="28"/>
        <v>684.5163999492249</v>
      </c>
      <c r="DV137" s="3">
        <f t="shared" si="28"/>
        <v>684.5163999492249</v>
      </c>
      <c r="DW137" s="3">
        <f t="shared" si="28"/>
        <v>684.5163999492249</v>
      </c>
      <c r="DX137" s="3">
        <f t="shared" si="28"/>
        <v>684.5163999492249</v>
      </c>
      <c r="DY137" s="3">
        <f t="shared" si="28"/>
        <v>684.5163999492249</v>
      </c>
      <c r="DZ137" s="3">
        <f t="shared" si="28"/>
        <v>0</v>
      </c>
      <c r="EA137" s="3">
        <f t="shared" si="28"/>
        <v>0</v>
      </c>
      <c r="EB137" s="3">
        <f t="shared" si="28"/>
        <v>0</v>
      </c>
      <c r="EC137" s="3">
        <f aca="true" t="shared" si="47" ref="EC137:EL137">IF(EB137&lt;EB138,EB137,EB138)</f>
        <v>0</v>
      </c>
      <c r="ED137" s="3">
        <f t="shared" si="47"/>
        <v>0</v>
      </c>
      <c r="EE137" s="3">
        <f t="shared" si="47"/>
        <v>0</v>
      </c>
      <c r="EF137" s="3">
        <f t="shared" si="47"/>
        <v>0</v>
      </c>
      <c r="EG137" s="3">
        <f t="shared" si="47"/>
        <v>0</v>
      </c>
      <c r="EH137" s="3">
        <f>IF(EG137&lt;EG138,EG137,EG138)</f>
        <v>0</v>
      </c>
      <c r="EI137" s="3">
        <f t="shared" si="47"/>
        <v>0</v>
      </c>
      <c r="EJ137" s="3">
        <f t="shared" si="47"/>
        <v>0</v>
      </c>
      <c r="EK137" s="3">
        <f t="shared" si="47"/>
        <v>0</v>
      </c>
      <c r="EL137" s="3">
        <f t="shared" si="47"/>
        <v>0</v>
      </c>
      <c r="EM137" s="267">
        <f t="shared" si="42"/>
        <v>0</v>
      </c>
      <c r="EN137" s="267">
        <f t="shared" si="30"/>
        <v>0</v>
      </c>
      <c r="EO137" s="3">
        <f t="shared" si="31"/>
        <v>0</v>
      </c>
    </row>
    <row r="138" spans="1:145" s="3" customFormat="1" ht="15" customHeight="1">
      <c r="A138" s="3">
        <f t="shared" si="32"/>
        <v>1</v>
      </c>
      <c r="B138" s="689">
        <v>9</v>
      </c>
      <c r="C138" s="689"/>
      <c r="D138" s="726">
        <f t="shared" si="8"/>
        <v>3702.0859067466117</v>
      </c>
      <c r="E138" s="726"/>
      <c r="F138" s="726"/>
      <c r="G138" s="726"/>
      <c r="H138" s="726"/>
      <c r="I138" s="726"/>
      <c r="J138" s="726"/>
      <c r="K138" s="726"/>
      <c r="L138" s="726"/>
      <c r="M138" s="726">
        <f t="shared" si="9"/>
        <v>1667.4365452916397</v>
      </c>
      <c r="N138" s="726"/>
      <c r="O138" s="726"/>
      <c r="P138" s="726"/>
      <c r="Q138" s="726"/>
      <c r="R138" s="726"/>
      <c r="S138" s="726"/>
      <c r="T138" s="726"/>
      <c r="U138" s="726"/>
      <c r="V138" s="726"/>
      <c r="W138" s="723">
        <f t="shared" si="33"/>
        <v>253.35401627752324</v>
      </c>
      <c r="X138" s="723"/>
      <c r="Y138" s="723"/>
      <c r="Z138" s="723"/>
      <c r="AA138" s="723"/>
      <c r="AB138" s="723"/>
      <c r="AC138" s="723"/>
      <c r="AD138" s="723"/>
      <c r="AE138" s="723"/>
      <c r="AF138" s="723"/>
      <c r="AG138" s="723"/>
      <c r="AH138" s="723">
        <f t="shared" si="1"/>
        <v>1541.878317133856</v>
      </c>
      <c r="AI138" s="723"/>
      <c r="AJ138" s="723"/>
      <c r="AK138" s="723"/>
      <c r="AL138" s="723"/>
      <c r="AM138" s="723"/>
      <c r="AN138" s="723"/>
      <c r="AO138" s="723"/>
      <c r="AP138" s="723"/>
      <c r="AQ138" s="723"/>
      <c r="AR138" s="723">
        <f t="shared" si="34"/>
        <v>692.0321576338398</v>
      </c>
      <c r="AS138" s="723"/>
      <c r="AT138" s="723"/>
      <c r="AU138" s="723"/>
      <c r="AV138" s="723"/>
      <c r="AW138" s="723"/>
      <c r="AX138" s="723"/>
      <c r="AY138" s="723"/>
      <c r="AZ138" s="723"/>
      <c r="BA138" s="723">
        <f t="shared" si="10"/>
        <v>313.1199131985327</v>
      </c>
      <c r="BB138" s="723"/>
      <c r="BC138" s="723"/>
      <c r="BD138" s="723"/>
      <c r="BE138" s="723"/>
      <c r="BF138" s="723"/>
      <c r="BG138" s="723"/>
      <c r="BH138" s="723"/>
      <c r="BI138" s="723"/>
      <c r="BJ138" s="723">
        <f t="shared" si="2"/>
        <v>997.6363131477576</v>
      </c>
      <c r="BK138" s="723"/>
      <c r="BL138" s="723"/>
      <c r="BM138" s="723"/>
      <c r="BN138" s="723"/>
      <c r="BO138" s="723"/>
      <c r="BP138" s="723"/>
      <c r="BQ138" s="723"/>
      <c r="BR138" s="723">
        <f t="shared" si="35"/>
        <v>3388.965993548079</v>
      </c>
      <c r="BS138" s="723"/>
      <c r="BT138" s="723"/>
      <c r="BU138" s="723"/>
      <c r="BV138" s="723"/>
      <c r="BW138" s="723"/>
      <c r="BX138" s="723"/>
      <c r="BY138" s="723"/>
      <c r="BZ138" s="723"/>
      <c r="CA138" s="723"/>
      <c r="CB138" s="8"/>
      <c r="CC138" s="285">
        <f t="shared" si="3"/>
        <v>1026.329756577164</v>
      </c>
      <c r="CD138" s="285">
        <f t="shared" si="11"/>
        <v>997.6363131477576</v>
      </c>
      <c r="CF138" s="285">
        <f t="shared" si="12"/>
        <v>2550.156919249347</v>
      </c>
      <c r="CG138" s="285">
        <f t="shared" si="13"/>
        <v>1151.9289874972649</v>
      </c>
      <c r="CH138" s="285">
        <f t="shared" si="36"/>
        <v>3702.0859067466117</v>
      </c>
      <c r="CI138" s="285">
        <f t="shared" si="37"/>
        <v>839.1804374358722</v>
      </c>
      <c r="CJ138" s="285"/>
      <c r="CK138" s="285">
        <f t="shared" si="14"/>
        <v>253.35401627752324</v>
      </c>
      <c r="CL138" s="285"/>
      <c r="CM138" s="286">
        <f t="shared" si="15"/>
        <v>348.0964194775359</v>
      </c>
      <c r="CN138" s="311">
        <f t="shared" si="16"/>
        <v>348.4585187179225</v>
      </c>
      <c r="CP138" s="285">
        <f t="shared" si="17"/>
        <v>696.5549381954584</v>
      </c>
      <c r="CQ138" s="285">
        <f t="shared" si="38"/>
        <v>839.1804374358722</v>
      </c>
      <c r="CS138" s="285">
        <f t="shared" si="18"/>
        <v>1.004</v>
      </c>
      <c r="CT138" s="286">
        <f t="shared" si="19"/>
        <v>842.5371591856158</v>
      </c>
      <c r="CU138" s="311"/>
      <c r="CV138" s="312">
        <f t="shared" si="20"/>
        <v>699.3411579482402</v>
      </c>
      <c r="CW138" s="311">
        <f t="shared" si="21"/>
        <v>1541.878317133856</v>
      </c>
      <c r="CY138" s="285">
        <f t="shared" si="22"/>
        <v>1468.175431978916</v>
      </c>
      <c r="CZ138" s="285">
        <f t="shared" si="4"/>
        <v>3135.611977270556</v>
      </c>
      <c r="DA138" s="285">
        <f t="shared" si="23"/>
        <v>1468.175431978916</v>
      </c>
      <c r="DB138" s="3">
        <f t="shared" si="5"/>
        <v>1667.4365452916397</v>
      </c>
      <c r="DC138" s="3">
        <f t="shared" si="24"/>
        <v>1667.4365452916397</v>
      </c>
      <c r="DD138" s="3">
        <v>9</v>
      </c>
      <c r="DE138" s="285">
        <f t="shared" si="39"/>
        <v>454.25044150249994</v>
      </c>
      <c r="DF138" s="285">
        <f t="shared" si="40"/>
        <v>567.9903519010501</v>
      </c>
      <c r="DH138" s="286">
        <f t="shared" si="6"/>
        <v>456.0674432685099</v>
      </c>
      <c r="DI138" s="286">
        <f t="shared" si="25"/>
        <v>570.2623133086543</v>
      </c>
      <c r="DK138" s="286">
        <f t="shared" si="26"/>
        <v>1026.329756577164</v>
      </c>
      <c r="DN138" s="3">
        <f t="shared" si="27"/>
        <v>997.6363131477576</v>
      </c>
      <c r="DO138" s="3">
        <f t="shared" si="28"/>
        <v>997.6363131477576</v>
      </c>
      <c r="DP138" s="3">
        <f t="shared" si="28"/>
        <v>986.3524428909998</v>
      </c>
      <c r="DQ138" s="3">
        <f t="shared" si="28"/>
        <v>986.3524428909998</v>
      </c>
      <c r="DR138" s="3">
        <f t="shared" si="28"/>
        <v>986.3524428909998</v>
      </c>
      <c r="DS138" s="3">
        <f t="shared" si="28"/>
        <v>986.3524428909998</v>
      </c>
      <c r="DT138" s="3">
        <f t="shared" si="28"/>
        <v>986.3524428909998</v>
      </c>
      <c r="DU138" s="3">
        <f t="shared" si="28"/>
        <v>986.3524428909998</v>
      </c>
      <c r="DV138" s="3">
        <f t="shared" si="28"/>
        <v>986.3524428909998</v>
      </c>
      <c r="DW138" s="3">
        <f t="shared" si="28"/>
        <v>986.3524428909998</v>
      </c>
      <c r="DX138" s="3">
        <f t="shared" si="28"/>
        <v>986.3524428909998</v>
      </c>
      <c r="DY138" s="3">
        <f t="shared" si="28"/>
        <v>0</v>
      </c>
      <c r="DZ138" s="3">
        <f t="shared" si="28"/>
        <v>0</v>
      </c>
      <c r="EA138" s="3">
        <f t="shared" si="28"/>
        <v>0</v>
      </c>
      <c r="EB138" s="3">
        <f t="shared" si="28"/>
        <v>0</v>
      </c>
      <c r="EC138" s="3">
        <f aca="true" t="shared" si="48" ref="EC138:EL138">IF(EB138&lt;EB139,EB138,EB139)</f>
        <v>0</v>
      </c>
      <c r="ED138" s="3">
        <f t="shared" si="48"/>
        <v>0</v>
      </c>
      <c r="EE138" s="3">
        <f t="shared" si="48"/>
        <v>0</v>
      </c>
      <c r="EF138" s="3">
        <f t="shared" si="48"/>
        <v>0</v>
      </c>
      <c r="EG138" s="3">
        <f t="shared" si="48"/>
        <v>0</v>
      </c>
      <c r="EH138" s="3">
        <f t="shared" si="48"/>
        <v>0</v>
      </c>
      <c r="EI138" s="3">
        <f t="shared" si="48"/>
        <v>0</v>
      </c>
      <c r="EJ138" s="3">
        <f t="shared" si="48"/>
        <v>0</v>
      </c>
      <c r="EK138" s="3">
        <f t="shared" si="48"/>
        <v>0</v>
      </c>
      <c r="EL138" s="3">
        <f t="shared" si="48"/>
        <v>0</v>
      </c>
      <c r="EM138" s="267">
        <f t="shared" si="42"/>
        <v>0</v>
      </c>
      <c r="EN138" s="267">
        <f t="shared" si="30"/>
        <v>0</v>
      </c>
      <c r="EO138" s="3">
        <f t="shared" si="31"/>
        <v>0</v>
      </c>
    </row>
    <row r="139" spans="1:145" s="3" customFormat="1" ht="15" customHeight="1">
      <c r="A139" s="3">
        <f t="shared" si="32"/>
        <v>1</v>
      </c>
      <c r="B139" s="689">
        <v>10</v>
      </c>
      <c r="C139" s="689"/>
      <c r="D139" s="726">
        <f t="shared" si="8"/>
        <v>3912.691771276436</v>
      </c>
      <c r="E139" s="726"/>
      <c r="F139" s="726"/>
      <c r="G139" s="726"/>
      <c r="H139" s="726"/>
      <c r="I139" s="726"/>
      <c r="J139" s="726"/>
      <c r="K139" s="726"/>
      <c r="L139" s="726"/>
      <c r="M139" s="726">
        <f t="shared" si="9"/>
        <v>1667.4365452916397</v>
      </c>
      <c r="N139" s="726"/>
      <c r="O139" s="726"/>
      <c r="P139" s="726"/>
      <c r="Q139" s="726"/>
      <c r="R139" s="726"/>
      <c r="S139" s="726"/>
      <c r="T139" s="726"/>
      <c r="U139" s="726"/>
      <c r="V139" s="726"/>
      <c r="W139" s="723">
        <f t="shared" si="33"/>
        <v>260.95463676584893</v>
      </c>
      <c r="X139" s="723"/>
      <c r="Y139" s="723"/>
      <c r="Z139" s="723"/>
      <c r="AA139" s="723"/>
      <c r="AB139" s="723"/>
      <c r="AC139" s="723"/>
      <c r="AD139" s="723"/>
      <c r="AE139" s="723"/>
      <c r="AF139" s="723"/>
      <c r="AG139" s="723"/>
      <c r="AH139" s="723">
        <f t="shared" si="1"/>
        <v>1619.2351148248881</v>
      </c>
      <c r="AI139" s="723"/>
      <c r="AJ139" s="723"/>
      <c r="AK139" s="723"/>
      <c r="AL139" s="723"/>
      <c r="AM139" s="723"/>
      <c r="AN139" s="723"/>
      <c r="AO139" s="723"/>
      <c r="AP139" s="723"/>
      <c r="AQ139" s="723"/>
      <c r="AR139" s="723">
        <f t="shared" si="34"/>
        <v>692.0321576338398</v>
      </c>
      <c r="AS139" s="723"/>
      <c r="AT139" s="723"/>
      <c r="AU139" s="723"/>
      <c r="AV139" s="723"/>
      <c r="AW139" s="723"/>
      <c r="AX139" s="723"/>
      <c r="AY139" s="723"/>
      <c r="AZ139" s="723"/>
      <c r="BA139" s="723">
        <f t="shared" si="10"/>
        <v>382.876090401239</v>
      </c>
      <c r="BB139" s="723"/>
      <c r="BC139" s="723"/>
      <c r="BD139" s="723"/>
      <c r="BE139" s="723"/>
      <c r="BF139" s="723"/>
      <c r="BG139" s="723"/>
      <c r="BH139" s="723"/>
      <c r="BI139" s="723"/>
      <c r="BJ139" s="723">
        <f t="shared" si="2"/>
        <v>1380.5124035489966</v>
      </c>
      <c r="BK139" s="723"/>
      <c r="BL139" s="723"/>
      <c r="BM139" s="723"/>
      <c r="BN139" s="723"/>
      <c r="BO139" s="723"/>
      <c r="BP139" s="723"/>
      <c r="BQ139" s="723"/>
      <c r="BR139" s="723">
        <f t="shared" si="35"/>
        <v>3529.8156808751974</v>
      </c>
      <c r="BS139" s="723"/>
      <c r="BT139" s="723"/>
      <c r="BU139" s="723"/>
      <c r="BV139" s="723"/>
      <c r="BW139" s="723"/>
      <c r="BX139" s="723"/>
      <c r="BY139" s="723"/>
      <c r="BZ139" s="723"/>
      <c r="CA139" s="723"/>
      <c r="CB139" s="8"/>
      <c r="CC139" s="285">
        <f t="shared" si="3"/>
        <v>1024.2852749903573</v>
      </c>
      <c r="CD139" s="285">
        <f t="shared" si="11"/>
        <v>1380.5124035489966</v>
      </c>
      <c r="CF139" s="285">
        <f t="shared" si="12"/>
        <v>2703.166334404308</v>
      </c>
      <c r="CG139" s="285">
        <f t="shared" si="13"/>
        <v>1209.5254368721282</v>
      </c>
      <c r="CH139" s="285">
        <f t="shared" si="36"/>
        <v>3912.691771276436</v>
      </c>
      <c r="CI139" s="285">
        <f t="shared" si="37"/>
        <v>881.1394593076659</v>
      </c>
      <c r="CJ139" s="285"/>
      <c r="CK139" s="285">
        <f t="shared" si="14"/>
        <v>260.95463676584893</v>
      </c>
      <c r="CL139" s="285"/>
      <c r="CM139" s="286">
        <f t="shared" si="15"/>
        <v>368.98220464618805</v>
      </c>
      <c r="CN139" s="311">
        <f t="shared" si="16"/>
        <v>365.8814446538187</v>
      </c>
      <c r="CP139" s="285">
        <f t="shared" si="17"/>
        <v>734.8636493000067</v>
      </c>
      <c r="CQ139" s="285">
        <f t="shared" si="38"/>
        <v>881.1394593076659</v>
      </c>
      <c r="CS139" s="285">
        <f t="shared" si="18"/>
        <v>1.002</v>
      </c>
      <c r="CT139" s="286">
        <f t="shared" si="19"/>
        <v>882.9017382262813</v>
      </c>
      <c r="CU139" s="311"/>
      <c r="CV139" s="312">
        <f t="shared" si="20"/>
        <v>736.3333765986067</v>
      </c>
      <c r="CW139" s="311">
        <f t="shared" si="21"/>
        <v>1619.2351148248881</v>
      </c>
      <c r="CY139" s="285">
        <f t="shared" si="22"/>
        <v>1601.4244988177084</v>
      </c>
      <c r="CZ139" s="285">
        <f t="shared" si="4"/>
        <v>3268.861044109348</v>
      </c>
      <c r="DA139" s="285">
        <f t="shared" si="23"/>
        <v>1601.4244988177084</v>
      </c>
      <c r="DB139" s="3">
        <f t="shared" si="5"/>
        <v>1667.4365452916397</v>
      </c>
      <c r="DC139" s="3">
        <f t="shared" si="24"/>
        <v>1667.4365452916397</v>
      </c>
      <c r="DD139" s="3">
        <v>10</v>
      </c>
      <c r="DE139" s="285">
        <f t="shared" si="39"/>
        <v>454.25044150249994</v>
      </c>
      <c r="DF139" s="285">
        <f t="shared" si="40"/>
        <v>567.9903519010501</v>
      </c>
      <c r="DH139" s="286">
        <f t="shared" si="6"/>
        <v>455.15894238550493</v>
      </c>
      <c r="DI139" s="286">
        <f t="shared" si="25"/>
        <v>569.1263326048522</v>
      </c>
      <c r="DK139" s="286">
        <f t="shared" si="26"/>
        <v>1024.2852749903573</v>
      </c>
      <c r="DN139" s="3">
        <f t="shared" si="27"/>
        <v>1144.785668473051</v>
      </c>
      <c r="DO139" s="3">
        <f t="shared" si="28"/>
        <v>986.3524428909998</v>
      </c>
      <c r="DP139" s="3">
        <f>IF(DO139&lt;DO140,DO139,DO140)</f>
        <v>986.3524428909998</v>
      </c>
      <c r="DQ139" s="3">
        <f t="shared" si="28"/>
        <v>986.3524428909998</v>
      </c>
      <c r="DR139" s="3">
        <f t="shared" si="28"/>
        <v>986.3524428909998</v>
      </c>
      <c r="DS139" s="3">
        <f t="shared" si="28"/>
        <v>986.3524428909998</v>
      </c>
      <c r="DT139" s="3">
        <f t="shared" si="28"/>
        <v>986.3524428909998</v>
      </c>
      <c r="DU139" s="3">
        <f t="shared" si="28"/>
        <v>986.3524428909998</v>
      </c>
      <c r="DV139" s="3">
        <f t="shared" si="28"/>
        <v>986.3524428909998</v>
      </c>
      <c r="DW139" s="3">
        <f t="shared" si="28"/>
        <v>986.3524428909998</v>
      </c>
      <c r="DX139" s="3">
        <f t="shared" si="28"/>
        <v>0</v>
      </c>
      <c r="DY139" s="3">
        <f t="shared" si="28"/>
        <v>0</v>
      </c>
      <c r="DZ139" s="3">
        <f t="shared" si="28"/>
        <v>0</v>
      </c>
      <c r="EA139" s="3">
        <f t="shared" si="28"/>
        <v>0</v>
      </c>
      <c r="EB139" s="3">
        <f aca="true" t="shared" si="49" ref="EB139:EL139">IF(EA139&lt;EA140,EA139,EA140)</f>
        <v>0</v>
      </c>
      <c r="EC139" s="3">
        <f t="shared" si="49"/>
        <v>0</v>
      </c>
      <c r="ED139" s="3">
        <f t="shared" si="49"/>
        <v>0</v>
      </c>
      <c r="EE139" s="3">
        <f t="shared" si="49"/>
        <v>0</v>
      </c>
      <c r="EF139" s="3">
        <f t="shared" si="49"/>
        <v>0</v>
      </c>
      <c r="EG139" s="3">
        <f t="shared" si="49"/>
        <v>0</v>
      </c>
      <c r="EH139" s="3">
        <f t="shared" si="49"/>
        <v>0</v>
      </c>
      <c r="EI139" s="3">
        <f t="shared" si="49"/>
        <v>0</v>
      </c>
      <c r="EJ139" s="3">
        <f t="shared" si="49"/>
        <v>0</v>
      </c>
      <c r="EK139" s="3">
        <f t="shared" si="49"/>
        <v>0</v>
      </c>
      <c r="EL139" s="3">
        <f t="shared" si="49"/>
        <v>0</v>
      </c>
      <c r="EM139" s="267">
        <f t="shared" si="42"/>
        <v>0</v>
      </c>
      <c r="EN139" s="267">
        <f t="shared" si="30"/>
        <v>0</v>
      </c>
      <c r="EO139" s="3">
        <f t="shared" si="31"/>
        <v>0</v>
      </c>
    </row>
    <row r="140" spans="1:145" s="3" customFormat="1" ht="15" customHeight="1">
      <c r="A140" s="3">
        <f t="shared" si="32"/>
        <v>1</v>
      </c>
      <c r="B140" s="689">
        <v>11</v>
      </c>
      <c r="C140" s="689"/>
      <c r="D140" s="726">
        <f t="shared" si="8"/>
        <v>4135.358023184302</v>
      </c>
      <c r="E140" s="726"/>
      <c r="F140" s="726"/>
      <c r="G140" s="726"/>
      <c r="H140" s="726"/>
      <c r="I140" s="726"/>
      <c r="J140" s="726"/>
      <c r="K140" s="726"/>
      <c r="L140" s="726"/>
      <c r="M140" s="726">
        <f t="shared" si="9"/>
        <v>1667.4365452916397</v>
      </c>
      <c r="N140" s="726"/>
      <c r="O140" s="726"/>
      <c r="P140" s="726"/>
      <c r="Q140" s="726"/>
      <c r="R140" s="726"/>
      <c r="S140" s="726"/>
      <c r="T140" s="726"/>
      <c r="U140" s="726"/>
      <c r="V140" s="726"/>
      <c r="W140" s="723">
        <f t="shared" si="33"/>
        <v>268.78327586882443</v>
      </c>
      <c r="X140" s="723"/>
      <c r="Y140" s="723"/>
      <c r="Z140" s="723"/>
      <c r="AA140" s="723"/>
      <c r="AB140" s="723"/>
      <c r="AC140" s="723"/>
      <c r="AD140" s="723"/>
      <c r="AE140" s="723"/>
      <c r="AF140" s="723"/>
      <c r="AG140" s="723"/>
      <c r="AH140" s="723">
        <f t="shared" si="1"/>
        <v>1700.4930860845184</v>
      </c>
      <c r="AI140" s="723"/>
      <c r="AJ140" s="723"/>
      <c r="AK140" s="723"/>
      <c r="AL140" s="723"/>
      <c r="AM140" s="723"/>
      <c r="AN140" s="723"/>
      <c r="AO140" s="723"/>
      <c r="AP140" s="723"/>
      <c r="AQ140" s="723"/>
      <c r="AR140" s="723">
        <v>0</v>
      </c>
      <c r="AS140" s="723"/>
      <c r="AT140" s="723"/>
      <c r="AU140" s="723"/>
      <c r="AV140" s="723"/>
      <c r="AW140" s="723"/>
      <c r="AX140" s="723"/>
      <c r="AY140" s="723"/>
      <c r="AZ140" s="723"/>
      <c r="BA140" s="723">
        <f t="shared" si="10"/>
        <v>-235.72673507594573</v>
      </c>
      <c r="BB140" s="723"/>
      <c r="BC140" s="723"/>
      <c r="BD140" s="723"/>
      <c r="BE140" s="723"/>
      <c r="BF140" s="723"/>
      <c r="BG140" s="723"/>
      <c r="BH140" s="723"/>
      <c r="BI140" s="723"/>
      <c r="BJ140" s="723">
        <f t="shared" si="2"/>
        <v>1144.785668473051</v>
      </c>
      <c r="BK140" s="723"/>
      <c r="BL140" s="723"/>
      <c r="BM140" s="723"/>
      <c r="BN140" s="723"/>
      <c r="BO140" s="723"/>
      <c r="BP140" s="723"/>
      <c r="BQ140" s="723"/>
      <c r="BR140" s="723">
        <f t="shared" si="35"/>
        <v>4371.084758260247</v>
      </c>
      <c r="BS140" s="723"/>
      <c r="BT140" s="723"/>
      <c r="BU140" s="723"/>
      <c r="BV140" s="723"/>
      <c r="BW140" s="723"/>
      <c r="BX140" s="723"/>
      <c r="BY140" s="723"/>
      <c r="BZ140" s="723"/>
      <c r="CA140" s="723"/>
      <c r="CB140" s="8"/>
      <c r="CC140" s="285">
        <f t="shared" si="3"/>
        <v>1022.24079340355</v>
      </c>
      <c r="CD140" s="285">
        <f t="shared" si="11"/>
        <v>1144.785668473051</v>
      </c>
      <c r="CF140" s="285">
        <f t="shared" si="12"/>
        <v>2865.356314468567</v>
      </c>
      <c r="CG140" s="285">
        <f t="shared" si="13"/>
        <v>1270.0017087157346</v>
      </c>
      <c r="CH140" s="285">
        <f t="shared" si="36"/>
        <v>4135.358023184302</v>
      </c>
      <c r="CI140" s="285">
        <f t="shared" si="37"/>
        <v>925.1964322730493</v>
      </c>
      <c r="CK140" s="285">
        <f t="shared" si="14"/>
        <v>268.78327586882443</v>
      </c>
      <c r="CL140" s="285"/>
      <c r="CM140" s="286">
        <f t="shared" si="15"/>
        <v>391.12113692495933</v>
      </c>
      <c r="CN140" s="311">
        <f t="shared" si="16"/>
        <v>384.1755168865096</v>
      </c>
      <c r="CP140" s="285">
        <f t="shared" si="17"/>
        <v>775.296653811469</v>
      </c>
      <c r="CQ140" s="285">
        <f t="shared" si="38"/>
        <v>925.1964322730493</v>
      </c>
      <c r="CR140" s="285"/>
      <c r="CS140" s="285">
        <f t="shared" si="18"/>
        <v>1</v>
      </c>
      <c r="CT140" s="286">
        <f t="shared" si="19"/>
        <v>925.1964322730493</v>
      </c>
      <c r="CU140" s="311"/>
      <c r="CV140" s="312">
        <f t="shared" si="20"/>
        <v>775.296653811469</v>
      </c>
      <c r="CW140" s="311">
        <f t="shared" si="21"/>
        <v>1700.4930860845184</v>
      </c>
      <c r="CY140" s="285">
        <f t="shared" si="22"/>
        <v>2434.864937099783</v>
      </c>
      <c r="CZ140" s="285">
        <f t="shared" si="4"/>
        <v>4102.301482391423</v>
      </c>
      <c r="DA140" s="285">
        <f t="shared" si="23"/>
        <v>2434.864937099783</v>
      </c>
      <c r="DB140" s="3">
        <f t="shared" si="5"/>
        <v>1667.4365452916397</v>
      </c>
      <c r="DC140" s="3">
        <f t="shared" si="24"/>
        <v>1667.4365452916397</v>
      </c>
      <c r="DD140" s="3">
        <v>11</v>
      </c>
      <c r="DE140" s="285">
        <f t="shared" si="39"/>
        <v>454.25044150249994</v>
      </c>
      <c r="DF140" s="285">
        <f t="shared" si="40"/>
        <v>567.9903519010501</v>
      </c>
      <c r="DH140" s="286">
        <f t="shared" si="6"/>
        <v>454.25044150249994</v>
      </c>
      <c r="DI140" s="286">
        <f t="shared" si="25"/>
        <v>567.9903519010501</v>
      </c>
      <c r="DK140" s="286">
        <f t="shared" si="26"/>
        <v>1022.24079340355</v>
      </c>
      <c r="DN140" s="3">
        <f t="shared" si="27"/>
        <v>986.3524428909998</v>
      </c>
      <c r="DO140" s="3">
        <f t="shared" si="28"/>
        <v>986.3524428909998</v>
      </c>
      <c r="DP140" s="3">
        <f t="shared" si="28"/>
        <v>986.3524428909998</v>
      </c>
      <c r="DQ140" s="3">
        <f t="shared" si="28"/>
        <v>986.3524428909998</v>
      </c>
      <c r="DR140" s="3">
        <f t="shared" si="28"/>
        <v>986.3524428909998</v>
      </c>
      <c r="DS140" s="3">
        <f t="shared" si="28"/>
        <v>986.3524428909998</v>
      </c>
      <c r="DT140" s="3">
        <f t="shared" si="28"/>
        <v>986.3524428909998</v>
      </c>
      <c r="DU140" s="3">
        <f t="shared" si="28"/>
        <v>986.3524428909998</v>
      </c>
      <c r="DV140" s="3">
        <f t="shared" si="28"/>
        <v>986.3524428909998</v>
      </c>
      <c r="DW140" s="3">
        <f t="shared" si="28"/>
        <v>0</v>
      </c>
      <c r="DX140" s="3">
        <f t="shared" si="28"/>
        <v>0</v>
      </c>
      <c r="DY140" s="3">
        <f t="shared" si="28"/>
        <v>0</v>
      </c>
      <c r="DZ140" s="3">
        <f t="shared" si="28"/>
        <v>0</v>
      </c>
      <c r="EA140" s="3">
        <f t="shared" si="28"/>
        <v>0</v>
      </c>
      <c r="EB140" s="3">
        <f aca="true" t="shared" si="50" ref="EB140:EL140">IF(EA140&lt;EA141,EA140,EA141)</f>
        <v>0</v>
      </c>
      <c r="EC140" s="3">
        <f t="shared" si="50"/>
        <v>0</v>
      </c>
      <c r="ED140" s="3">
        <f t="shared" si="50"/>
        <v>0</v>
      </c>
      <c r="EE140" s="3">
        <f t="shared" si="50"/>
        <v>0</v>
      </c>
      <c r="EF140" s="3">
        <f t="shared" si="50"/>
        <v>0</v>
      </c>
      <c r="EG140" s="3">
        <f t="shared" si="50"/>
        <v>0</v>
      </c>
      <c r="EH140" s="3">
        <f t="shared" si="50"/>
        <v>0</v>
      </c>
      <c r="EI140" s="3">
        <f t="shared" si="50"/>
        <v>0</v>
      </c>
      <c r="EJ140" s="3">
        <f t="shared" si="50"/>
        <v>0</v>
      </c>
      <c r="EK140" s="3">
        <f t="shared" si="50"/>
        <v>0</v>
      </c>
      <c r="EL140" s="3">
        <f t="shared" si="50"/>
        <v>0</v>
      </c>
      <c r="EM140" s="267">
        <f t="shared" si="42"/>
        <v>0</v>
      </c>
      <c r="EN140" s="267">
        <f t="shared" si="30"/>
        <v>0</v>
      </c>
      <c r="EO140" s="3">
        <f t="shared" si="31"/>
        <v>0</v>
      </c>
    </row>
    <row r="141" spans="1:145" s="3" customFormat="1" ht="15" customHeight="1">
      <c r="A141" s="3">
        <f t="shared" si="32"/>
        <v>1</v>
      </c>
      <c r="B141" s="689">
        <v>12</v>
      </c>
      <c r="C141" s="689"/>
      <c r="D141" s="726">
        <f t="shared" si="8"/>
        <v>4370.779487488202</v>
      </c>
      <c r="E141" s="726"/>
      <c r="F141" s="726"/>
      <c r="G141" s="726"/>
      <c r="H141" s="726"/>
      <c r="I141" s="726"/>
      <c r="J141" s="726"/>
      <c r="K141" s="726"/>
      <c r="L141" s="726"/>
      <c r="M141" s="726">
        <f t="shared" si="9"/>
        <v>1667.4365452916397</v>
      </c>
      <c r="N141" s="726"/>
      <c r="O141" s="726"/>
      <c r="P141" s="726"/>
      <c r="Q141" s="726"/>
      <c r="R141" s="726"/>
      <c r="S141" s="726"/>
      <c r="T141" s="726"/>
      <c r="U141" s="726"/>
      <c r="V141" s="726"/>
      <c r="W141" s="723">
        <f t="shared" si="33"/>
        <v>276.8467741448892</v>
      </c>
      <c r="X141" s="723"/>
      <c r="Y141" s="723"/>
      <c r="Z141" s="723"/>
      <c r="AA141" s="723"/>
      <c r="AB141" s="723"/>
      <c r="AC141" s="723"/>
      <c r="AD141" s="723"/>
      <c r="AE141" s="723"/>
      <c r="AF141" s="723"/>
      <c r="AG141" s="723"/>
      <c r="AH141" s="723">
        <f t="shared" si="1"/>
        <v>1785.8500938544778</v>
      </c>
      <c r="AI141" s="723"/>
      <c r="AJ141" s="723"/>
      <c r="AK141" s="723"/>
      <c r="AL141" s="723"/>
      <c r="AM141" s="723"/>
      <c r="AN141" s="723"/>
      <c r="AO141" s="723"/>
      <c r="AP141" s="723"/>
      <c r="AQ141" s="723"/>
      <c r="AR141" s="723">
        <v>0</v>
      </c>
      <c r="AS141" s="723"/>
      <c r="AT141" s="723"/>
      <c r="AU141" s="723"/>
      <c r="AV141" s="723"/>
      <c r="AW141" s="723"/>
      <c r="AX141" s="723"/>
      <c r="AY141" s="723"/>
      <c r="AZ141" s="723"/>
      <c r="BA141" s="723">
        <f t="shared" si="10"/>
        <v>-158.43322558205114</v>
      </c>
      <c r="BB141" s="723"/>
      <c r="BC141" s="723"/>
      <c r="BD141" s="723"/>
      <c r="BE141" s="723"/>
      <c r="BF141" s="723"/>
      <c r="BG141" s="723"/>
      <c r="BH141" s="723"/>
      <c r="BI141" s="723"/>
      <c r="BJ141" s="723">
        <f t="shared" si="2"/>
        <v>986.3524428909998</v>
      </c>
      <c r="BK141" s="723"/>
      <c r="BL141" s="723"/>
      <c r="BM141" s="723"/>
      <c r="BN141" s="723"/>
      <c r="BO141" s="723"/>
      <c r="BP141" s="723"/>
      <c r="BQ141" s="723"/>
      <c r="BR141" s="723">
        <f t="shared" si="35"/>
        <v>4529.212713070253</v>
      </c>
      <c r="BS141" s="723"/>
      <c r="BT141" s="723"/>
      <c r="BU141" s="723"/>
      <c r="BV141" s="723"/>
      <c r="BW141" s="723"/>
      <c r="BX141" s="723"/>
      <c r="BY141" s="723"/>
      <c r="BZ141" s="723"/>
      <c r="CA141" s="723"/>
      <c r="CB141" s="8"/>
      <c r="CC141" s="285">
        <f t="shared" si="3"/>
        <v>1020.1963118167429</v>
      </c>
      <c r="CD141" s="285">
        <f t="shared" si="11"/>
        <v>986.3524428909998</v>
      </c>
      <c r="CF141" s="285">
        <f t="shared" si="12"/>
        <v>3037.277693336681</v>
      </c>
      <c r="CG141" s="285">
        <f t="shared" si="13"/>
        <v>1333.5017941515214</v>
      </c>
      <c r="CH141" s="285">
        <f t="shared" si="36"/>
        <v>4370.779487488202</v>
      </c>
      <c r="CI141" s="285">
        <f t="shared" si="37"/>
        <v>971.4562538867018</v>
      </c>
      <c r="CK141" s="285">
        <f>CK140*CG124</f>
        <v>276.8467741448892</v>
      </c>
      <c r="CL141" s="285"/>
      <c r="CM141" s="286">
        <f t="shared" si="15"/>
        <v>414.5884051404569</v>
      </c>
      <c r="CN141" s="311">
        <f t="shared" si="16"/>
        <v>403.3842927308351</v>
      </c>
      <c r="CP141" s="285">
        <f t="shared" si="17"/>
        <v>817.972697871292</v>
      </c>
      <c r="CQ141" s="285">
        <f t="shared" si="38"/>
        <v>971.4562538867018</v>
      </c>
      <c r="CR141" s="285"/>
      <c r="CS141" s="285">
        <f t="shared" si="18"/>
        <v>0.998</v>
      </c>
      <c r="CT141" s="286">
        <f t="shared" si="19"/>
        <v>969.5133413789284</v>
      </c>
      <c r="CU141" s="311"/>
      <c r="CV141" s="312">
        <f t="shared" si="20"/>
        <v>816.3367524755494</v>
      </c>
      <c r="CW141" s="311">
        <f t="shared" si="21"/>
        <v>1785.8500938544778</v>
      </c>
      <c r="CY141" s="285">
        <f t="shared" si="22"/>
        <v>2584.9293936337244</v>
      </c>
      <c r="CZ141" s="285">
        <f t="shared" si="4"/>
        <v>4252.365938925364</v>
      </c>
      <c r="DA141" s="285">
        <f t="shared" si="23"/>
        <v>2584.9293936337244</v>
      </c>
      <c r="DB141" s="3">
        <f t="shared" si="5"/>
        <v>1667.4365452916397</v>
      </c>
      <c r="DC141" s="3">
        <f t="shared" si="24"/>
        <v>1667.4365452916397</v>
      </c>
      <c r="DD141" s="3">
        <v>12</v>
      </c>
      <c r="DE141" s="285">
        <f t="shared" si="39"/>
        <v>454.25044150249994</v>
      </c>
      <c r="DF141" s="285">
        <f t="shared" si="40"/>
        <v>567.9903519010501</v>
      </c>
      <c r="DH141" s="286">
        <f t="shared" si="6"/>
        <v>453.34194061949495</v>
      </c>
      <c r="DI141" s="286">
        <f t="shared" si="25"/>
        <v>566.8543711972479</v>
      </c>
      <c r="DK141" s="286">
        <f t="shared" si="26"/>
        <v>1020.1963118167429</v>
      </c>
      <c r="DN141" s="3">
        <f t="shared" si="27"/>
        <v>986.3524428909998</v>
      </c>
      <c r="DO141" s="3">
        <f t="shared" si="28"/>
        <v>986.3524428909998</v>
      </c>
      <c r="DP141" s="3">
        <f t="shared" si="28"/>
        <v>986.3524428909998</v>
      </c>
      <c r="DQ141" s="3">
        <f t="shared" si="28"/>
        <v>986.3524428909998</v>
      </c>
      <c r="DR141" s="3">
        <f t="shared" si="28"/>
        <v>986.3524428909998</v>
      </c>
      <c r="DS141" s="3">
        <f t="shared" si="28"/>
        <v>986.3524428909998</v>
      </c>
      <c r="DT141" s="3">
        <f t="shared" si="28"/>
        <v>986.3524428909998</v>
      </c>
      <c r="DU141" s="3">
        <f t="shared" si="28"/>
        <v>986.3524428909998</v>
      </c>
      <c r="DV141" s="3">
        <f t="shared" si="28"/>
        <v>0</v>
      </c>
      <c r="DW141" s="3">
        <f t="shared" si="28"/>
        <v>0</v>
      </c>
      <c r="DX141" s="3">
        <f t="shared" si="28"/>
        <v>0</v>
      </c>
      <c r="DY141" s="3">
        <f t="shared" si="28"/>
        <v>0</v>
      </c>
      <c r="DZ141" s="3">
        <f t="shared" si="28"/>
        <v>0</v>
      </c>
      <c r="EA141" s="3">
        <f t="shared" si="28"/>
        <v>0</v>
      </c>
      <c r="EB141" s="3">
        <f aca="true" t="shared" si="51" ref="EB141:EL141">IF(EA141&lt;EA142,EA141,EA142)</f>
        <v>0</v>
      </c>
      <c r="EC141" s="3">
        <f t="shared" si="51"/>
        <v>0</v>
      </c>
      <c r="ED141" s="3">
        <f t="shared" si="51"/>
        <v>0</v>
      </c>
      <c r="EE141" s="3">
        <f t="shared" si="51"/>
        <v>0</v>
      </c>
      <c r="EF141" s="3">
        <f t="shared" si="51"/>
        <v>0</v>
      </c>
      <c r="EG141" s="3">
        <f t="shared" si="51"/>
        <v>0</v>
      </c>
      <c r="EH141" s="3">
        <f t="shared" si="51"/>
        <v>0</v>
      </c>
      <c r="EI141" s="3">
        <f t="shared" si="51"/>
        <v>0</v>
      </c>
      <c r="EJ141" s="3">
        <f t="shared" si="51"/>
        <v>0</v>
      </c>
      <c r="EK141" s="3">
        <f t="shared" si="51"/>
        <v>0</v>
      </c>
      <c r="EL141" s="3">
        <f t="shared" si="51"/>
        <v>0</v>
      </c>
      <c r="EM141" s="267">
        <f t="shared" si="42"/>
        <v>0</v>
      </c>
      <c r="EN141" s="267">
        <f t="shared" si="30"/>
        <v>0</v>
      </c>
      <c r="EO141" s="3">
        <f t="shared" si="31"/>
        <v>986.3524428909998</v>
      </c>
    </row>
    <row r="142" spans="1:145" s="3" customFormat="1" ht="15" customHeight="1">
      <c r="A142" s="3">
        <f t="shared" si="32"/>
        <v>1</v>
      </c>
      <c r="B142" s="689">
        <v>13</v>
      </c>
      <c r="C142" s="689"/>
      <c r="D142" s="726">
        <f t="shared" si="8"/>
        <v>4619.691238795979</v>
      </c>
      <c r="E142" s="726"/>
      <c r="F142" s="726"/>
      <c r="G142" s="726"/>
      <c r="H142" s="726"/>
      <c r="I142" s="726"/>
      <c r="J142" s="726"/>
      <c r="K142" s="726"/>
      <c r="L142" s="726"/>
      <c r="M142" s="726">
        <f t="shared" si="9"/>
        <v>0</v>
      </c>
      <c r="N142" s="726"/>
      <c r="O142" s="726"/>
      <c r="P142" s="726"/>
      <c r="Q142" s="726"/>
      <c r="R142" s="726"/>
      <c r="S142" s="726"/>
      <c r="T142" s="726"/>
      <c r="U142" s="726"/>
      <c r="V142" s="726"/>
      <c r="W142" s="723">
        <f t="shared" si="33"/>
        <v>1043.706742690313</v>
      </c>
      <c r="X142" s="723"/>
      <c r="Y142" s="723"/>
      <c r="Z142" s="723"/>
      <c r="AA142" s="723"/>
      <c r="AB142" s="723"/>
      <c r="AC142" s="723"/>
      <c r="AD142" s="723"/>
      <c r="AE142" s="723"/>
      <c r="AF142" s="723"/>
      <c r="AG142" s="723"/>
      <c r="AH142" s="723">
        <f t="shared" si="1"/>
        <v>1875.514098263709</v>
      </c>
      <c r="AI142" s="723"/>
      <c r="AJ142" s="723"/>
      <c r="AK142" s="723"/>
      <c r="AL142" s="723"/>
      <c r="AM142" s="723"/>
      <c r="AN142" s="723"/>
      <c r="AO142" s="723"/>
      <c r="AP142" s="723"/>
      <c r="AQ142" s="723"/>
      <c r="AR142" s="723">
        <v>0</v>
      </c>
      <c r="AS142" s="723"/>
      <c r="AT142" s="723"/>
      <c r="AU142" s="723"/>
      <c r="AV142" s="723"/>
      <c r="AW142" s="723"/>
      <c r="AX142" s="723"/>
      <c r="AY142" s="723"/>
      <c r="AZ142" s="723"/>
      <c r="BA142" s="723">
        <f t="shared" si="10"/>
        <v>831.8073555733961</v>
      </c>
      <c r="BB142" s="723"/>
      <c r="BC142" s="723"/>
      <c r="BD142" s="723"/>
      <c r="BE142" s="723"/>
      <c r="BF142" s="723"/>
      <c r="BG142" s="723"/>
      <c r="BH142" s="723"/>
      <c r="BI142" s="723"/>
      <c r="BJ142" s="723">
        <f t="shared" si="2"/>
        <v>1818.1597984643959</v>
      </c>
      <c r="BK142" s="723"/>
      <c r="BL142" s="723"/>
      <c r="BM142" s="723"/>
      <c r="BN142" s="723"/>
      <c r="BO142" s="723"/>
      <c r="BP142" s="723"/>
      <c r="BQ142" s="723"/>
      <c r="BR142" s="723">
        <f t="shared" si="35"/>
        <v>3787.883883222583</v>
      </c>
      <c r="BS142" s="723"/>
      <c r="BT142" s="723"/>
      <c r="BU142" s="723"/>
      <c r="BV142" s="723"/>
      <c r="BW142" s="723"/>
      <c r="BX142" s="723"/>
      <c r="BY142" s="723"/>
      <c r="BZ142" s="723"/>
      <c r="CA142" s="723"/>
      <c r="CB142" s="8"/>
      <c r="CC142" s="285">
        <f t="shared" si="3"/>
        <v>1018.1518302299359</v>
      </c>
      <c r="CD142" s="285">
        <f t="shared" si="11"/>
        <v>1818.1597984643959</v>
      </c>
      <c r="CF142" s="285">
        <f t="shared" si="12"/>
        <v>3219.514354936882</v>
      </c>
      <c r="CG142" s="285">
        <f t="shared" si="13"/>
        <v>1400.1768838590974</v>
      </c>
      <c r="CH142" s="285">
        <f t="shared" si="36"/>
        <v>4619.691238795979</v>
      </c>
      <c r="CI142" s="285">
        <f t="shared" si="37"/>
        <v>1020.0290665810369</v>
      </c>
      <c r="CJ142" s="285">
        <f>CK141*CG124</f>
        <v>285.15217736923586</v>
      </c>
      <c r="CK142" s="285">
        <f>CJ142*$CG$124+(150*A!G6)</f>
        <v>1043.706742690313</v>
      </c>
      <c r="CL142" s="285"/>
      <c r="CM142" s="286">
        <f t="shared" si="15"/>
        <v>439.46370944888434</v>
      </c>
      <c r="CN142" s="311">
        <f t="shared" si="16"/>
        <v>423.5535073673769</v>
      </c>
      <c r="CP142" s="285">
        <f t="shared" si="17"/>
        <v>863.0172168162612</v>
      </c>
      <c r="CQ142" s="285">
        <f t="shared" si="38"/>
        <v>1020.0290665810369</v>
      </c>
      <c r="CR142" s="285"/>
      <c r="CS142" s="285">
        <f t="shared" si="18"/>
        <v>0.996</v>
      </c>
      <c r="CT142" s="286">
        <f t="shared" si="19"/>
        <v>1015.9489503147128</v>
      </c>
      <c r="CU142" s="311"/>
      <c r="CV142" s="312">
        <f t="shared" si="20"/>
        <v>859.5651479489961</v>
      </c>
      <c r="CW142" s="311">
        <f t="shared" si="21"/>
        <v>1875.514098263709</v>
      </c>
      <c r="CY142" s="285">
        <f t="shared" si="22"/>
        <v>2744.17714053227</v>
      </c>
      <c r="CZ142" s="285">
        <f t="shared" si="4"/>
        <v>2744.17714053227</v>
      </c>
      <c r="DA142" s="285">
        <f t="shared" si="23"/>
        <v>2744.17714053227</v>
      </c>
      <c r="DB142" s="3">
        <f t="shared" si="5"/>
        <v>0</v>
      </c>
      <c r="DC142" s="3">
        <f t="shared" si="24"/>
        <v>0</v>
      </c>
      <c r="DD142" s="3">
        <v>13</v>
      </c>
      <c r="DE142" s="285">
        <f t="shared" si="39"/>
        <v>454.25044150249994</v>
      </c>
      <c r="DF142" s="285">
        <f t="shared" si="40"/>
        <v>567.9903519010501</v>
      </c>
      <c r="DH142" s="286">
        <f t="shared" si="6"/>
        <v>452.43343973648996</v>
      </c>
      <c r="DI142" s="286">
        <f t="shared" si="25"/>
        <v>565.7183904934459</v>
      </c>
      <c r="DK142" s="286">
        <f t="shared" si="26"/>
        <v>1018.1518302299359</v>
      </c>
      <c r="DN142" s="3">
        <f t="shared" si="27"/>
        <v>1818.1597984643959</v>
      </c>
      <c r="DO142" s="3">
        <f t="shared" si="28"/>
        <v>1818.1597984643959</v>
      </c>
      <c r="DP142" s="3">
        <f t="shared" si="28"/>
        <v>1818.1597984643959</v>
      </c>
      <c r="DQ142" s="3">
        <f t="shared" si="28"/>
        <v>1818.1597984643959</v>
      </c>
      <c r="DR142" s="3">
        <f t="shared" si="28"/>
        <v>1818.1597984643959</v>
      </c>
      <c r="DS142" s="3">
        <f t="shared" si="28"/>
        <v>1818.1597984643959</v>
      </c>
      <c r="DT142" s="3">
        <f t="shared" si="28"/>
        <v>1818.1597984643959</v>
      </c>
      <c r="DU142" s="3">
        <f t="shared" si="28"/>
        <v>0</v>
      </c>
      <c r="DV142" s="3">
        <f t="shared" si="28"/>
        <v>0</v>
      </c>
      <c r="DW142" s="3">
        <f t="shared" si="28"/>
        <v>0</v>
      </c>
      <c r="DX142" s="3">
        <f t="shared" si="28"/>
        <v>0</v>
      </c>
      <c r="DY142" s="3">
        <f t="shared" si="28"/>
        <v>0</v>
      </c>
      <c r="DZ142" s="3">
        <f t="shared" si="28"/>
        <v>0</v>
      </c>
      <c r="EA142" s="3">
        <f t="shared" si="28"/>
        <v>0</v>
      </c>
      <c r="EB142" s="3">
        <f aca="true" t="shared" si="52" ref="EB142:EL142">IF(EA142&lt;EA143,EA142,EA143)</f>
        <v>0</v>
      </c>
      <c r="EC142" s="3">
        <f t="shared" si="52"/>
        <v>0</v>
      </c>
      <c r="ED142" s="3">
        <f t="shared" si="52"/>
        <v>0</v>
      </c>
      <c r="EE142" s="3">
        <f t="shared" si="52"/>
        <v>0</v>
      </c>
      <c r="EF142" s="3">
        <f t="shared" si="52"/>
        <v>0</v>
      </c>
      <c r="EG142" s="3">
        <f t="shared" si="52"/>
        <v>0</v>
      </c>
      <c r="EH142" s="3">
        <f t="shared" si="52"/>
        <v>0</v>
      </c>
      <c r="EI142" s="3">
        <f t="shared" si="52"/>
        <v>0</v>
      </c>
      <c r="EJ142" s="3">
        <f t="shared" si="52"/>
        <v>0</v>
      </c>
      <c r="EK142" s="3">
        <f t="shared" si="52"/>
        <v>0</v>
      </c>
      <c r="EL142" s="3">
        <f t="shared" si="52"/>
        <v>0</v>
      </c>
      <c r="EM142" s="267">
        <f t="shared" si="42"/>
        <v>0</v>
      </c>
      <c r="EN142" s="267">
        <f t="shared" si="30"/>
        <v>0</v>
      </c>
      <c r="EO142" s="3">
        <f t="shared" si="31"/>
        <v>0</v>
      </c>
    </row>
    <row r="143" spans="1:145" s="3" customFormat="1" ht="15" customHeight="1">
      <c r="A143" s="3">
        <f t="shared" si="32"/>
        <v>1</v>
      </c>
      <c r="B143" s="689">
        <v>14</v>
      </c>
      <c r="C143" s="689"/>
      <c r="D143" s="726">
        <f t="shared" si="8"/>
        <v>4882.870944285147</v>
      </c>
      <c r="E143" s="726"/>
      <c r="F143" s="726"/>
      <c r="G143" s="726"/>
      <c r="H143" s="726"/>
      <c r="I143" s="726"/>
      <c r="J143" s="726"/>
      <c r="K143" s="726"/>
      <c r="L143" s="726"/>
      <c r="M143" s="726">
        <f t="shared" si="9"/>
        <v>0</v>
      </c>
      <c r="N143" s="726"/>
      <c r="O143" s="726"/>
      <c r="P143" s="726"/>
      <c r="Q143" s="726"/>
      <c r="R143" s="726"/>
      <c r="S143" s="726"/>
      <c r="T143" s="726"/>
      <c r="U143" s="726"/>
      <c r="V143" s="726"/>
      <c r="W143" s="723">
        <f t="shared" si="33"/>
        <v>293.7067426903129</v>
      </c>
      <c r="X143" s="723"/>
      <c r="Y143" s="723"/>
      <c r="Z143" s="723"/>
      <c r="AA143" s="723"/>
      <c r="AB143" s="723"/>
      <c r="AC143" s="723"/>
      <c r="AD143" s="723"/>
      <c r="AE143" s="723"/>
      <c r="AF143" s="723"/>
      <c r="AG143" s="723"/>
      <c r="AH143" s="723">
        <f t="shared" si="1"/>
        <v>1969.703675253682</v>
      </c>
      <c r="AI143" s="723"/>
      <c r="AJ143" s="723"/>
      <c r="AK143" s="723"/>
      <c r="AL143" s="723"/>
      <c r="AM143" s="723"/>
      <c r="AN143" s="723"/>
      <c r="AO143" s="723"/>
      <c r="AP143" s="723"/>
      <c r="AQ143" s="723"/>
      <c r="AR143" s="723">
        <v>0</v>
      </c>
      <c r="AS143" s="723"/>
      <c r="AT143" s="723"/>
      <c r="AU143" s="723"/>
      <c r="AV143" s="723"/>
      <c r="AW143" s="723"/>
      <c r="AX143" s="723"/>
      <c r="AY143" s="723"/>
      <c r="AZ143" s="723"/>
      <c r="BA143" s="723">
        <f t="shared" si="10"/>
        <v>1675.996932563369</v>
      </c>
      <c r="BB143" s="723"/>
      <c r="BC143" s="723"/>
      <c r="BD143" s="723"/>
      <c r="BE143" s="723"/>
      <c r="BF143" s="723"/>
      <c r="BG143" s="723"/>
      <c r="BH143" s="723"/>
      <c r="BI143" s="723"/>
      <c r="BJ143" s="723">
        <f t="shared" si="2"/>
        <v>3494.156731027765</v>
      </c>
      <c r="BK143" s="723"/>
      <c r="BL143" s="723"/>
      <c r="BM143" s="723"/>
      <c r="BN143" s="723"/>
      <c r="BO143" s="723"/>
      <c r="BP143" s="723"/>
      <c r="BQ143" s="723"/>
      <c r="BR143" s="723">
        <f t="shared" si="35"/>
        <v>3206.8740117217776</v>
      </c>
      <c r="BS143" s="723"/>
      <c r="BT143" s="723"/>
      <c r="BU143" s="723"/>
      <c r="BV143" s="723"/>
      <c r="BW143" s="723"/>
      <c r="BX143" s="723"/>
      <c r="BY143" s="723"/>
      <c r="BZ143" s="723"/>
      <c r="CA143" s="723"/>
      <c r="CB143" s="8"/>
      <c r="CC143" s="285">
        <f t="shared" si="3"/>
        <v>1016.1073486431287</v>
      </c>
      <c r="CD143" s="285">
        <f t="shared" si="11"/>
        <v>3494.156731027765</v>
      </c>
      <c r="CF143" s="285">
        <f t="shared" si="12"/>
        <v>3412.6852162330947</v>
      </c>
      <c r="CG143" s="285">
        <f t="shared" si="13"/>
        <v>1470.1857280520524</v>
      </c>
      <c r="CH143" s="285">
        <f t="shared" si="36"/>
        <v>4882.870944285147</v>
      </c>
      <c r="CI143" s="285">
        <f t="shared" si="37"/>
        <v>1071.0305199100887</v>
      </c>
      <c r="CJ143" s="285"/>
      <c r="CK143" s="285">
        <f>CJ142*CG124</f>
        <v>293.7067426903129</v>
      </c>
      <c r="CL143" s="285"/>
      <c r="CM143" s="286">
        <f t="shared" si="15"/>
        <v>465.8315320158174</v>
      </c>
      <c r="CN143" s="311">
        <f t="shared" si="16"/>
        <v>444.73118273574573</v>
      </c>
      <c r="CP143" s="285">
        <f t="shared" si="17"/>
        <v>910.5627147515631</v>
      </c>
      <c r="CQ143" s="285">
        <f t="shared" si="38"/>
        <v>1071.0305199100887</v>
      </c>
      <c r="CR143" s="285"/>
      <c r="CS143" s="285">
        <f t="shared" si="18"/>
        <v>0.994</v>
      </c>
      <c r="CT143" s="286">
        <f t="shared" si="19"/>
        <v>1064.6043367906282</v>
      </c>
      <c r="CU143" s="311"/>
      <c r="CV143" s="312">
        <f t="shared" si="20"/>
        <v>905.0993384630538</v>
      </c>
      <c r="CW143" s="311">
        <f t="shared" si="21"/>
        <v>1969.703675253682</v>
      </c>
      <c r="CY143" s="285">
        <f t="shared" si="22"/>
        <v>2913.167269031465</v>
      </c>
      <c r="CZ143" s="285">
        <f t="shared" si="4"/>
        <v>2913.167269031465</v>
      </c>
      <c r="DA143" s="285">
        <f t="shared" si="23"/>
        <v>2913.167269031465</v>
      </c>
      <c r="DB143" s="3">
        <f t="shared" si="5"/>
        <v>0</v>
      </c>
      <c r="DC143" s="3">
        <f t="shared" si="24"/>
        <v>0</v>
      </c>
      <c r="DD143" s="3">
        <v>14</v>
      </c>
      <c r="DE143" s="285">
        <f t="shared" si="39"/>
        <v>454.25044150249994</v>
      </c>
      <c r="DF143" s="285">
        <f t="shared" si="40"/>
        <v>567.9903519010501</v>
      </c>
      <c r="DH143" s="286">
        <f t="shared" si="6"/>
        <v>451.5249388534849</v>
      </c>
      <c r="DI143" s="286">
        <f t="shared" si="25"/>
        <v>564.5824097896437</v>
      </c>
      <c r="DK143" s="286">
        <f t="shared" si="26"/>
        <v>1016.1073486431287</v>
      </c>
      <c r="DN143" s="3">
        <f t="shared" si="27"/>
        <v>3494.156731027765</v>
      </c>
      <c r="DO143" s="3">
        <f t="shared" si="28"/>
        <v>3494.156731027765</v>
      </c>
      <c r="DP143" s="3">
        <f t="shared" si="28"/>
        <v>3494.156731027765</v>
      </c>
      <c r="DQ143" s="3">
        <f t="shared" si="28"/>
        <v>3494.156731027765</v>
      </c>
      <c r="DR143" s="3">
        <f t="shared" si="28"/>
        <v>3494.156731027765</v>
      </c>
      <c r="DS143" s="3">
        <f t="shared" si="28"/>
        <v>3494.156731027765</v>
      </c>
      <c r="DT143" s="3">
        <f t="shared" si="28"/>
        <v>0</v>
      </c>
      <c r="DU143" s="3">
        <f t="shared" si="28"/>
        <v>0</v>
      </c>
      <c r="DV143" s="3">
        <f t="shared" si="28"/>
        <v>0</v>
      </c>
      <c r="DW143" s="3">
        <f t="shared" si="28"/>
        <v>0</v>
      </c>
      <c r="DX143" s="3">
        <f t="shared" si="28"/>
        <v>0</v>
      </c>
      <c r="DY143" s="3">
        <f t="shared" si="28"/>
        <v>0</v>
      </c>
      <c r="DZ143" s="3">
        <f t="shared" si="28"/>
        <v>0</v>
      </c>
      <c r="EA143" s="3">
        <f t="shared" si="28"/>
        <v>0</v>
      </c>
      <c r="EB143" s="3">
        <f aca="true" t="shared" si="53" ref="EB143:EL143">IF(EA143&lt;EA144,EA143,EA144)</f>
        <v>0</v>
      </c>
      <c r="EC143" s="3">
        <f t="shared" si="53"/>
        <v>0</v>
      </c>
      <c r="ED143" s="3">
        <f t="shared" si="53"/>
        <v>0</v>
      </c>
      <c r="EE143" s="3">
        <f t="shared" si="53"/>
        <v>0</v>
      </c>
      <c r="EF143" s="3">
        <f t="shared" si="53"/>
        <v>0</v>
      </c>
      <c r="EG143" s="3">
        <f t="shared" si="53"/>
        <v>0</v>
      </c>
      <c r="EH143" s="3">
        <f t="shared" si="53"/>
        <v>0</v>
      </c>
      <c r="EI143" s="3">
        <f t="shared" si="53"/>
        <v>0</v>
      </c>
      <c r="EJ143" s="3">
        <f t="shared" si="53"/>
        <v>0</v>
      </c>
      <c r="EK143" s="3">
        <f t="shared" si="53"/>
        <v>0</v>
      </c>
      <c r="EL143" s="3">
        <f t="shared" si="53"/>
        <v>0</v>
      </c>
      <c r="EM143" s="267">
        <f t="shared" si="42"/>
        <v>0</v>
      </c>
      <c r="EN143" s="267">
        <f t="shared" si="30"/>
        <v>0</v>
      </c>
      <c r="EO143" s="3">
        <f t="shared" si="31"/>
        <v>0</v>
      </c>
    </row>
    <row r="144" spans="1:145" s="3" customFormat="1" ht="15" customHeight="1">
      <c r="A144" s="3">
        <f t="shared" si="32"/>
        <v>1</v>
      </c>
      <c r="B144" s="689">
        <v>15</v>
      </c>
      <c r="C144" s="689"/>
      <c r="D144" s="726">
        <f t="shared" si="8"/>
        <v>5161.141343661735</v>
      </c>
      <c r="E144" s="726"/>
      <c r="F144" s="726"/>
      <c r="G144" s="726"/>
      <c r="H144" s="726"/>
      <c r="I144" s="726"/>
      <c r="J144" s="726"/>
      <c r="K144" s="726"/>
      <c r="L144" s="726"/>
      <c r="M144" s="726">
        <f t="shared" si="9"/>
        <v>0</v>
      </c>
      <c r="N144" s="726"/>
      <c r="O144" s="726"/>
      <c r="P144" s="726"/>
      <c r="Q144" s="726"/>
      <c r="R144" s="726"/>
      <c r="S144" s="726"/>
      <c r="T144" s="726"/>
      <c r="U144" s="726"/>
      <c r="V144" s="726"/>
      <c r="W144" s="723">
        <f t="shared" si="33"/>
        <v>302.5179449710223</v>
      </c>
      <c r="X144" s="723"/>
      <c r="Y144" s="723"/>
      <c r="Z144" s="723"/>
      <c r="AA144" s="723"/>
      <c r="AB144" s="723"/>
      <c r="AC144" s="723"/>
      <c r="AD144" s="723"/>
      <c r="AE144" s="723"/>
      <c r="AF144" s="723"/>
      <c r="AG144" s="723"/>
      <c r="AH144" s="723">
        <f t="shared" si="1"/>
        <v>2068.648562021174</v>
      </c>
      <c r="AI144" s="723"/>
      <c r="AJ144" s="723"/>
      <c r="AK144" s="723"/>
      <c r="AL144" s="723"/>
      <c r="AM144" s="723"/>
      <c r="AN144" s="723"/>
      <c r="AO144" s="723"/>
      <c r="AP144" s="723"/>
      <c r="AQ144" s="723"/>
      <c r="AR144" s="723">
        <v>0</v>
      </c>
      <c r="AS144" s="723"/>
      <c r="AT144" s="723"/>
      <c r="AU144" s="723"/>
      <c r="AV144" s="723"/>
      <c r="AW144" s="723"/>
      <c r="AX144" s="723"/>
      <c r="AY144" s="723"/>
      <c r="AZ144" s="723"/>
      <c r="BA144" s="723">
        <f t="shared" si="10"/>
        <v>1766.1306170501516</v>
      </c>
      <c r="BB144" s="723"/>
      <c r="BC144" s="723"/>
      <c r="BD144" s="723"/>
      <c r="BE144" s="723"/>
      <c r="BF144" s="723"/>
      <c r="BG144" s="723"/>
      <c r="BH144" s="723"/>
      <c r="BI144" s="723"/>
      <c r="BJ144" s="723">
        <f t="shared" si="2"/>
        <v>5260.287348077916</v>
      </c>
      <c r="BK144" s="723"/>
      <c r="BL144" s="723"/>
      <c r="BM144" s="723"/>
      <c r="BN144" s="723"/>
      <c r="BO144" s="723"/>
      <c r="BP144" s="723"/>
      <c r="BQ144" s="723"/>
      <c r="BR144" s="723">
        <f t="shared" si="35"/>
        <v>3395.0107266115833</v>
      </c>
      <c r="BS144" s="723"/>
      <c r="BT144" s="723"/>
      <c r="BU144" s="723"/>
      <c r="BV144" s="723"/>
      <c r="BW144" s="723"/>
      <c r="BX144" s="723"/>
      <c r="BY144" s="723"/>
      <c r="BZ144" s="723"/>
      <c r="CA144" s="723"/>
      <c r="CB144" s="8"/>
      <c r="CC144" s="285">
        <f t="shared" si="3"/>
        <v>1014.0628670563217</v>
      </c>
      <c r="CD144" s="285">
        <f t="shared" si="11"/>
        <v>5260.287348077916</v>
      </c>
      <c r="CF144" s="285">
        <f t="shared" si="12"/>
        <v>3617.4463292070805</v>
      </c>
      <c r="CG144" s="285">
        <f t="shared" si="13"/>
        <v>1543.695014454655</v>
      </c>
      <c r="CH144" s="285">
        <f t="shared" si="36"/>
        <v>5161.141343661735</v>
      </c>
      <c r="CI144" s="285">
        <f t="shared" si="37"/>
        <v>1124.5820459055933</v>
      </c>
      <c r="CJ144" s="285"/>
      <c r="CK144" s="285">
        <f aca="true" t="shared" si="54" ref="CK144:CK154">CK143*$CG$124</f>
        <v>302.5179449710223</v>
      </c>
      <c r="CL144" s="285"/>
      <c r="CM144" s="286">
        <f t="shared" si="15"/>
        <v>493.7814239367665</v>
      </c>
      <c r="CN144" s="311">
        <f t="shared" si="16"/>
        <v>466.96774187253305</v>
      </c>
      <c r="CP144" s="285">
        <f t="shared" si="17"/>
        <v>960.7491658092995</v>
      </c>
      <c r="CQ144" s="285">
        <f t="shared" si="38"/>
        <v>1124.5820459055933</v>
      </c>
      <c r="CR144" s="285"/>
      <c r="CS144" s="285">
        <f t="shared" si="18"/>
        <v>0.992</v>
      </c>
      <c r="CT144" s="286">
        <f t="shared" si="19"/>
        <v>1115.5853895383486</v>
      </c>
      <c r="CU144" s="311"/>
      <c r="CV144" s="312">
        <f t="shared" si="20"/>
        <v>953.063172482825</v>
      </c>
      <c r="CW144" s="311">
        <f t="shared" si="21"/>
        <v>2068.648562021174</v>
      </c>
      <c r="CY144" s="285">
        <f t="shared" si="22"/>
        <v>3092.492781640561</v>
      </c>
      <c r="CZ144" s="285">
        <f t="shared" si="4"/>
        <v>3092.492781640561</v>
      </c>
      <c r="DA144" s="285">
        <f t="shared" si="23"/>
        <v>3092.492781640561</v>
      </c>
      <c r="DB144" s="3">
        <f t="shared" si="5"/>
        <v>0</v>
      </c>
      <c r="DC144" s="3">
        <f t="shared" si="24"/>
        <v>0</v>
      </c>
      <c r="DD144" s="3">
        <v>15</v>
      </c>
      <c r="DE144" s="285">
        <f t="shared" si="39"/>
        <v>454.25044150249994</v>
      </c>
      <c r="DF144" s="285">
        <f t="shared" si="40"/>
        <v>567.9903519010501</v>
      </c>
      <c r="DH144" s="286">
        <f t="shared" si="6"/>
        <v>450.6164379704799</v>
      </c>
      <c r="DI144" s="286">
        <f t="shared" si="25"/>
        <v>563.4464290858417</v>
      </c>
      <c r="DK144" s="286">
        <f t="shared" si="26"/>
        <v>1014.0628670563217</v>
      </c>
      <c r="DN144" s="3">
        <f t="shared" si="27"/>
        <v>5260.287348077916</v>
      </c>
      <c r="DO144" s="3">
        <f t="shared" si="28"/>
        <v>5260.287348077916</v>
      </c>
      <c r="DP144" s="3">
        <f t="shared" si="28"/>
        <v>5260.287348077916</v>
      </c>
      <c r="DQ144" s="3">
        <f t="shared" si="28"/>
        <v>5260.287348077916</v>
      </c>
      <c r="DR144" s="3">
        <f t="shared" si="28"/>
        <v>5260.287348077916</v>
      </c>
      <c r="DS144" s="3">
        <f t="shared" si="28"/>
        <v>0</v>
      </c>
      <c r="DT144" s="3">
        <f t="shared" si="28"/>
        <v>0</v>
      </c>
      <c r="DU144" s="3">
        <f t="shared" si="28"/>
        <v>0</v>
      </c>
      <c r="DV144" s="3">
        <f t="shared" si="28"/>
        <v>0</v>
      </c>
      <c r="DW144" s="3">
        <f t="shared" si="28"/>
        <v>0</v>
      </c>
      <c r="DX144" s="3">
        <f t="shared" si="28"/>
        <v>0</v>
      </c>
      <c r="DY144" s="3">
        <f t="shared" si="28"/>
        <v>0</v>
      </c>
      <c r="DZ144" s="3">
        <f t="shared" si="28"/>
        <v>0</v>
      </c>
      <c r="EA144" s="3">
        <f t="shared" si="28"/>
        <v>0</v>
      </c>
      <c r="EB144" s="3">
        <f aca="true" t="shared" si="55" ref="EB144:EL144">IF(EA144&lt;EA145,EA144,EA145)</f>
        <v>0</v>
      </c>
      <c r="EC144" s="3">
        <f t="shared" si="55"/>
        <v>0</v>
      </c>
      <c r="ED144" s="3">
        <f t="shared" si="55"/>
        <v>0</v>
      </c>
      <c r="EE144" s="3">
        <f t="shared" si="55"/>
        <v>0</v>
      </c>
      <c r="EF144" s="3">
        <f t="shared" si="55"/>
        <v>0</v>
      </c>
      <c r="EG144" s="3">
        <f t="shared" si="55"/>
        <v>0</v>
      </c>
      <c r="EH144" s="3">
        <f t="shared" si="55"/>
        <v>0</v>
      </c>
      <c r="EI144" s="3">
        <f t="shared" si="55"/>
        <v>0</v>
      </c>
      <c r="EJ144" s="3">
        <f t="shared" si="55"/>
        <v>0</v>
      </c>
      <c r="EK144" s="3">
        <f t="shared" si="55"/>
        <v>0</v>
      </c>
      <c r="EL144" s="3">
        <f t="shared" si="55"/>
        <v>0</v>
      </c>
      <c r="EM144" s="267">
        <f t="shared" si="42"/>
        <v>0</v>
      </c>
      <c r="EN144" s="267">
        <f t="shared" si="30"/>
        <v>0</v>
      </c>
      <c r="EO144" s="3">
        <f t="shared" si="31"/>
        <v>0</v>
      </c>
    </row>
    <row r="145" spans="1:145" s="3" customFormat="1" ht="15" customHeight="1">
      <c r="A145" s="3">
        <f t="shared" si="32"/>
        <v>1</v>
      </c>
      <c r="B145" s="689">
        <v>16</v>
      </c>
      <c r="C145" s="689"/>
      <c r="D145" s="726">
        <f t="shared" si="8"/>
        <v>5455.372874136893</v>
      </c>
      <c r="E145" s="726"/>
      <c r="F145" s="726"/>
      <c r="G145" s="726"/>
      <c r="H145" s="726"/>
      <c r="I145" s="726"/>
      <c r="J145" s="726"/>
      <c r="K145" s="726"/>
      <c r="L145" s="726"/>
      <c r="M145" s="726">
        <f t="shared" si="9"/>
        <v>0</v>
      </c>
      <c r="N145" s="726"/>
      <c r="O145" s="726"/>
      <c r="P145" s="726"/>
      <c r="Q145" s="726"/>
      <c r="R145" s="726"/>
      <c r="S145" s="726"/>
      <c r="T145" s="726"/>
      <c r="U145" s="726"/>
      <c r="V145" s="726"/>
      <c r="W145" s="723">
        <f t="shared" si="33"/>
        <v>311.593483320153</v>
      </c>
      <c r="X145" s="723"/>
      <c r="Y145" s="723"/>
      <c r="Z145" s="723"/>
      <c r="AA145" s="723"/>
      <c r="AB145" s="723"/>
      <c r="AC145" s="723"/>
      <c r="AD145" s="723"/>
      <c r="AE145" s="723"/>
      <c r="AF145" s="723"/>
      <c r="AG145" s="723"/>
      <c r="AH145" s="723">
        <f t="shared" si="1"/>
        <v>2172.590230674605</v>
      </c>
      <c r="AI145" s="723"/>
      <c r="AJ145" s="723"/>
      <c r="AK145" s="723"/>
      <c r="AL145" s="723"/>
      <c r="AM145" s="723"/>
      <c r="AN145" s="723"/>
      <c r="AO145" s="723"/>
      <c r="AP145" s="723"/>
      <c r="AQ145" s="723"/>
      <c r="AR145" s="723">
        <v>0</v>
      </c>
      <c r="AS145" s="723"/>
      <c r="AT145" s="723"/>
      <c r="AU145" s="723"/>
      <c r="AV145" s="723"/>
      <c r="AW145" s="723"/>
      <c r="AX145" s="723"/>
      <c r="AY145" s="723"/>
      <c r="AZ145" s="723"/>
      <c r="BA145" s="723">
        <f t="shared" si="10"/>
        <v>1860.9967473544523</v>
      </c>
      <c r="BB145" s="723"/>
      <c r="BC145" s="723"/>
      <c r="BD145" s="723"/>
      <c r="BE145" s="723"/>
      <c r="BF145" s="723"/>
      <c r="BG145" s="723"/>
      <c r="BH145" s="723"/>
      <c r="BI145" s="723"/>
      <c r="BJ145" s="723">
        <f t="shared" si="2"/>
        <v>7121.284095432368</v>
      </c>
      <c r="BK145" s="723"/>
      <c r="BL145" s="723"/>
      <c r="BM145" s="723"/>
      <c r="BN145" s="723"/>
      <c r="BO145" s="723"/>
      <c r="BP145" s="723"/>
      <c r="BQ145" s="723"/>
      <c r="BR145" s="723">
        <f t="shared" si="35"/>
        <v>3594.376126782441</v>
      </c>
      <c r="BS145" s="723"/>
      <c r="BT145" s="723"/>
      <c r="BU145" s="723"/>
      <c r="BV145" s="723"/>
      <c r="BW145" s="723"/>
      <c r="BX145" s="723"/>
      <c r="BY145" s="723"/>
      <c r="BZ145" s="723"/>
      <c r="CA145" s="723"/>
      <c r="CB145" s="8"/>
      <c r="CC145" s="285">
        <f t="shared" si="3"/>
        <v>1012.0183854695144</v>
      </c>
      <c r="CD145" s="285">
        <f t="shared" si="11"/>
        <v>7121.284095432368</v>
      </c>
      <c r="CF145" s="285">
        <f t="shared" si="12"/>
        <v>3834.4931089595057</v>
      </c>
      <c r="CG145" s="285">
        <f t="shared" si="13"/>
        <v>1620.8797651773878</v>
      </c>
      <c r="CH145" s="285">
        <f t="shared" si="36"/>
        <v>5455.372874136893</v>
      </c>
      <c r="CI145" s="285">
        <f t="shared" si="37"/>
        <v>1180.811148200873</v>
      </c>
      <c r="CJ145" s="285"/>
      <c r="CK145" s="285">
        <f t="shared" si="54"/>
        <v>311.593483320153</v>
      </c>
      <c r="CL145" s="285"/>
      <c r="CM145" s="286">
        <f t="shared" si="15"/>
        <v>523.4083093729726</v>
      </c>
      <c r="CN145" s="311">
        <f t="shared" si="16"/>
        <v>490.31612896615974</v>
      </c>
      <c r="CP145" s="285">
        <f t="shared" si="17"/>
        <v>1013.7244383391323</v>
      </c>
      <c r="CQ145" s="285">
        <f t="shared" si="38"/>
        <v>1180.811148200873</v>
      </c>
      <c r="CR145" s="285"/>
      <c r="CS145" s="285">
        <f t="shared" si="18"/>
        <v>0.99</v>
      </c>
      <c r="CT145" s="286">
        <f t="shared" si="19"/>
        <v>1169.0030367188642</v>
      </c>
      <c r="CU145" s="311"/>
      <c r="CV145" s="312">
        <f t="shared" si="20"/>
        <v>1003.587193955741</v>
      </c>
      <c r="CW145" s="311">
        <f t="shared" si="21"/>
        <v>2172.590230674605</v>
      </c>
      <c r="CY145" s="285">
        <f t="shared" si="22"/>
        <v>3282.782643462288</v>
      </c>
      <c r="CZ145" s="285">
        <f t="shared" si="4"/>
        <v>3282.782643462288</v>
      </c>
      <c r="DA145" s="285">
        <f t="shared" si="23"/>
        <v>3282.782643462288</v>
      </c>
      <c r="DB145" s="3">
        <f t="shared" si="5"/>
        <v>0</v>
      </c>
      <c r="DC145" s="3">
        <f t="shared" si="24"/>
        <v>0</v>
      </c>
      <c r="DD145" s="3">
        <v>16</v>
      </c>
      <c r="DE145" s="285">
        <f t="shared" si="39"/>
        <v>454.25044150249994</v>
      </c>
      <c r="DF145" s="285">
        <f t="shared" si="40"/>
        <v>567.9903519010501</v>
      </c>
      <c r="DH145" s="286">
        <f t="shared" si="6"/>
        <v>449.70793708747493</v>
      </c>
      <c r="DI145" s="286">
        <f t="shared" si="25"/>
        <v>562.3104483820396</v>
      </c>
      <c r="DK145" s="286">
        <f t="shared" si="26"/>
        <v>1012.0183854695144</v>
      </c>
      <c r="DN145" s="3">
        <f t="shared" si="27"/>
        <v>7121.284095432368</v>
      </c>
      <c r="DO145" s="3">
        <f t="shared" si="28"/>
        <v>7121.284095432368</v>
      </c>
      <c r="DP145" s="3">
        <f t="shared" si="28"/>
        <v>7121.284095432368</v>
      </c>
      <c r="DQ145" s="3">
        <f t="shared" si="28"/>
        <v>7121.284095432368</v>
      </c>
      <c r="DR145" s="3">
        <f t="shared" si="28"/>
        <v>0</v>
      </c>
      <c r="DS145" s="3">
        <f t="shared" si="28"/>
        <v>0</v>
      </c>
      <c r="DT145" s="3">
        <f t="shared" si="28"/>
        <v>0</v>
      </c>
      <c r="DU145" s="3">
        <f t="shared" si="28"/>
        <v>0</v>
      </c>
      <c r="DV145" s="3">
        <f t="shared" si="28"/>
        <v>0</v>
      </c>
      <c r="DW145" s="3">
        <f t="shared" si="28"/>
        <v>0</v>
      </c>
      <c r="DX145" s="3">
        <f t="shared" si="28"/>
        <v>0</v>
      </c>
      <c r="DY145" s="3">
        <f t="shared" si="28"/>
        <v>0</v>
      </c>
      <c r="DZ145" s="3">
        <f t="shared" si="28"/>
        <v>0</v>
      </c>
      <c r="EA145" s="3">
        <f t="shared" si="28"/>
        <v>0</v>
      </c>
      <c r="EB145" s="3">
        <f aca="true" t="shared" si="56" ref="EB145:EL145">IF(EA145&lt;EA146,EA145,EA146)</f>
        <v>0</v>
      </c>
      <c r="EC145" s="3">
        <f t="shared" si="56"/>
        <v>0</v>
      </c>
      <c r="ED145" s="3">
        <f t="shared" si="56"/>
        <v>0</v>
      </c>
      <c r="EE145" s="3">
        <f t="shared" si="56"/>
        <v>0</v>
      </c>
      <c r="EF145" s="3">
        <f t="shared" si="56"/>
        <v>0</v>
      </c>
      <c r="EG145" s="3">
        <f t="shared" si="56"/>
        <v>0</v>
      </c>
      <c r="EH145" s="3">
        <f t="shared" si="56"/>
        <v>0</v>
      </c>
      <c r="EI145" s="3">
        <f t="shared" si="56"/>
        <v>0</v>
      </c>
      <c r="EJ145" s="3">
        <f t="shared" si="56"/>
        <v>0</v>
      </c>
      <c r="EK145" s="3">
        <f t="shared" si="56"/>
        <v>0</v>
      </c>
      <c r="EL145" s="3">
        <f t="shared" si="56"/>
        <v>0</v>
      </c>
      <c r="EM145" s="267">
        <f t="shared" si="42"/>
        <v>0</v>
      </c>
      <c r="EN145" s="267">
        <f t="shared" si="30"/>
        <v>0</v>
      </c>
      <c r="EO145" s="3">
        <f t="shared" si="31"/>
        <v>0</v>
      </c>
    </row>
    <row r="146" spans="1:145" s="3" customFormat="1" ht="15" customHeight="1">
      <c r="A146" s="3">
        <f t="shared" si="32"/>
        <v>1</v>
      </c>
      <c r="B146" s="689">
        <v>17</v>
      </c>
      <c r="C146" s="689"/>
      <c r="D146" s="726">
        <f t="shared" si="8"/>
        <v>5766.486448933333</v>
      </c>
      <c r="E146" s="726"/>
      <c r="F146" s="726"/>
      <c r="G146" s="726"/>
      <c r="H146" s="726"/>
      <c r="I146" s="726"/>
      <c r="J146" s="726"/>
      <c r="K146" s="726"/>
      <c r="L146" s="726"/>
      <c r="M146" s="726">
        <f t="shared" si="9"/>
        <v>0</v>
      </c>
      <c r="N146" s="726"/>
      <c r="O146" s="726"/>
      <c r="P146" s="726"/>
      <c r="Q146" s="726"/>
      <c r="R146" s="726"/>
      <c r="S146" s="726"/>
      <c r="T146" s="726"/>
      <c r="U146" s="726"/>
      <c r="V146" s="726"/>
      <c r="W146" s="723">
        <f t="shared" si="33"/>
        <v>320.9412878197576</v>
      </c>
      <c r="X146" s="723"/>
      <c r="Y146" s="723"/>
      <c r="Z146" s="723"/>
      <c r="AA146" s="723"/>
      <c r="AB146" s="723"/>
      <c r="AC146" s="723"/>
      <c r="AD146" s="723"/>
      <c r="AE146" s="723"/>
      <c r="AF146" s="723"/>
      <c r="AG146" s="723"/>
      <c r="AH146" s="723">
        <f t="shared" si="1"/>
        <v>2281.7824915732067</v>
      </c>
      <c r="AI146" s="723"/>
      <c r="AJ146" s="723"/>
      <c r="AK146" s="723"/>
      <c r="AL146" s="723"/>
      <c r="AM146" s="723"/>
      <c r="AN146" s="723"/>
      <c r="AO146" s="723"/>
      <c r="AP146" s="723"/>
      <c r="AQ146" s="723"/>
      <c r="AR146" s="723">
        <v>0</v>
      </c>
      <c r="AS146" s="723"/>
      <c r="AT146" s="723"/>
      <c r="AU146" s="723"/>
      <c r="AV146" s="723"/>
      <c r="AW146" s="723"/>
      <c r="AX146" s="723"/>
      <c r="AY146" s="723"/>
      <c r="AZ146" s="723"/>
      <c r="BA146" s="723">
        <f t="shared" si="10"/>
        <v>1960.841203753449</v>
      </c>
      <c r="BB146" s="723"/>
      <c r="BC146" s="723"/>
      <c r="BD146" s="723"/>
      <c r="BE146" s="723"/>
      <c r="BF146" s="723"/>
      <c r="BG146" s="723"/>
      <c r="BH146" s="723"/>
      <c r="BI146" s="723"/>
      <c r="BJ146" s="723">
        <f t="shared" si="2"/>
        <v>9082.125299185816</v>
      </c>
      <c r="BK146" s="723"/>
      <c r="BL146" s="723"/>
      <c r="BM146" s="723"/>
      <c r="BN146" s="723"/>
      <c r="BO146" s="723"/>
      <c r="BP146" s="723"/>
      <c r="BQ146" s="723"/>
      <c r="BR146" s="723">
        <f t="shared" si="35"/>
        <v>3805.645245179884</v>
      </c>
      <c r="BS146" s="723"/>
      <c r="BT146" s="723"/>
      <c r="BU146" s="723"/>
      <c r="BV146" s="723"/>
      <c r="BW146" s="723"/>
      <c r="BX146" s="723"/>
      <c r="BY146" s="723"/>
      <c r="BZ146" s="723"/>
      <c r="CA146" s="723"/>
      <c r="CB146" s="8"/>
      <c r="CC146" s="285">
        <f t="shared" si="3"/>
        <v>1009.9739038827074</v>
      </c>
      <c r="CD146" s="285">
        <f t="shared" si="11"/>
        <v>9082.125299185816</v>
      </c>
      <c r="CF146" s="285">
        <f t="shared" si="12"/>
        <v>4064.562695497076</v>
      </c>
      <c r="CG146" s="285">
        <f t="shared" si="13"/>
        <v>1701.9237534362571</v>
      </c>
      <c r="CH146" s="285">
        <f t="shared" si="36"/>
        <v>5766.486448933333</v>
      </c>
      <c r="CI146" s="285">
        <f t="shared" si="37"/>
        <v>1239.8517056109167</v>
      </c>
      <c r="CJ146" s="285"/>
      <c r="CK146" s="285">
        <f t="shared" si="54"/>
        <v>320.9412878197576</v>
      </c>
      <c r="CL146" s="285"/>
      <c r="CM146" s="286">
        <f t="shared" si="15"/>
        <v>554.812807935351</v>
      </c>
      <c r="CN146" s="311">
        <f t="shared" si="16"/>
        <v>514.8319354144677</v>
      </c>
      <c r="CP146" s="285">
        <f t="shared" si="17"/>
        <v>1069.6447433498188</v>
      </c>
      <c r="CQ146" s="285">
        <f t="shared" si="38"/>
        <v>1239.8517056109167</v>
      </c>
      <c r="CR146" s="285"/>
      <c r="CS146" s="285">
        <f t="shared" si="18"/>
        <v>0.988</v>
      </c>
      <c r="CT146" s="286">
        <f t="shared" si="19"/>
        <v>1224.9734851435858</v>
      </c>
      <c r="CU146" s="311"/>
      <c r="CV146" s="312">
        <f t="shared" si="20"/>
        <v>1056.809006429621</v>
      </c>
      <c r="CW146" s="311">
        <f t="shared" si="21"/>
        <v>2281.7824915732067</v>
      </c>
      <c r="CY146" s="285">
        <f t="shared" si="22"/>
        <v>3484.7039573601264</v>
      </c>
      <c r="CZ146" s="285">
        <f t="shared" si="4"/>
        <v>3484.7039573601264</v>
      </c>
      <c r="DA146" s="285">
        <f t="shared" si="23"/>
        <v>3484.7039573601264</v>
      </c>
      <c r="DB146" s="3">
        <f t="shared" si="5"/>
        <v>0</v>
      </c>
      <c r="DC146" s="3">
        <f t="shared" si="24"/>
        <v>0</v>
      </c>
      <c r="DD146" s="3">
        <v>17</v>
      </c>
      <c r="DE146" s="285">
        <f t="shared" si="39"/>
        <v>454.25044150249994</v>
      </c>
      <c r="DF146" s="285">
        <f t="shared" si="40"/>
        <v>567.9903519010501</v>
      </c>
      <c r="DH146" s="286">
        <f t="shared" si="6"/>
        <v>448.79943620446994</v>
      </c>
      <c r="DI146" s="286">
        <f t="shared" si="25"/>
        <v>561.1744676782374</v>
      </c>
      <c r="DK146" s="286">
        <f t="shared" si="26"/>
        <v>1009.9739038827074</v>
      </c>
      <c r="DN146" s="3">
        <f t="shared" si="27"/>
        <v>9082.125299185816</v>
      </c>
      <c r="DO146" s="3">
        <f t="shared" si="28"/>
        <v>9082.125299185816</v>
      </c>
      <c r="DP146" s="3">
        <f t="shared" si="28"/>
        <v>9082.125299185816</v>
      </c>
      <c r="DQ146" s="3">
        <f t="shared" si="28"/>
        <v>0</v>
      </c>
      <c r="DR146" s="3">
        <f t="shared" si="28"/>
        <v>0</v>
      </c>
      <c r="DS146" s="3">
        <f t="shared" si="28"/>
        <v>0</v>
      </c>
      <c r="DT146" s="3">
        <f t="shared" si="28"/>
        <v>0</v>
      </c>
      <c r="DU146" s="3">
        <f t="shared" si="28"/>
        <v>0</v>
      </c>
      <c r="DV146" s="3">
        <f t="shared" si="28"/>
        <v>0</v>
      </c>
      <c r="DW146" s="3">
        <f t="shared" si="28"/>
        <v>0</v>
      </c>
      <c r="DX146" s="3">
        <f t="shared" si="28"/>
        <v>0</v>
      </c>
      <c r="DY146" s="3">
        <f t="shared" si="28"/>
        <v>0</v>
      </c>
      <c r="DZ146" s="3">
        <f t="shared" si="28"/>
        <v>0</v>
      </c>
      <c r="EA146" s="3">
        <f t="shared" si="28"/>
        <v>0</v>
      </c>
      <c r="EB146" s="3">
        <f aca="true" t="shared" si="57" ref="EB146:EL146">IF(EA146&lt;EA147,EA146,EA147)</f>
        <v>0</v>
      </c>
      <c r="EC146" s="3">
        <f t="shared" si="57"/>
        <v>0</v>
      </c>
      <c r="ED146" s="3">
        <f t="shared" si="57"/>
        <v>0</v>
      </c>
      <c r="EE146" s="3">
        <f t="shared" si="57"/>
        <v>0</v>
      </c>
      <c r="EF146" s="3">
        <f t="shared" si="57"/>
        <v>0</v>
      </c>
      <c r="EG146" s="3">
        <f t="shared" si="57"/>
        <v>0</v>
      </c>
      <c r="EH146" s="3">
        <f t="shared" si="57"/>
        <v>0</v>
      </c>
      <c r="EI146" s="3">
        <f t="shared" si="57"/>
        <v>0</v>
      </c>
      <c r="EJ146" s="3">
        <f t="shared" si="57"/>
        <v>0</v>
      </c>
      <c r="EK146" s="3">
        <f t="shared" si="57"/>
        <v>0</v>
      </c>
      <c r="EL146" s="3">
        <f t="shared" si="57"/>
        <v>0</v>
      </c>
      <c r="EM146" s="267">
        <f t="shared" si="42"/>
        <v>0</v>
      </c>
      <c r="EN146" s="267">
        <f t="shared" si="30"/>
        <v>0</v>
      </c>
      <c r="EO146" s="3">
        <f t="shared" si="31"/>
        <v>0</v>
      </c>
    </row>
    <row r="147" spans="1:145" s="3" customFormat="1" ht="15" customHeight="1">
      <c r="A147" s="3">
        <f t="shared" si="32"/>
        <v>1</v>
      </c>
      <c r="B147" s="689">
        <v>18</v>
      </c>
      <c r="C147" s="689"/>
      <c r="D147" s="726">
        <f t="shared" si="8"/>
        <v>6095.456398334972</v>
      </c>
      <c r="E147" s="726"/>
      <c r="F147" s="726"/>
      <c r="G147" s="726"/>
      <c r="H147" s="726"/>
      <c r="I147" s="726"/>
      <c r="J147" s="726"/>
      <c r="K147" s="726"/>
      <c r="L147" s="726"/>
      <c r="M147" s="726">
        <f t="shared" si="9"/>
        <v>0</v>
      </c>
      <c r="N147" s="726"/>
      <c r="O147" s="726"/>
      <c r="P147" s="726"/>
      <c r="Q147" s="726"/>
      <c r="R147" s="726"/>
      <c r="S147" s="726"/>
      <c r="T147" s="726"/>
      <c r="U147" s="726"/>
      <c r="V147" s="726"/>
      <c r="W147" s="723">
        <f t="shared" si="33"/>
        <v>330.5695264543503</v>
      </c>
      <c r="X147" s="723"/>
      <c r="Y147" s="723"/>
      <c r="Z147" s="723"/>
      <c r="AA147" s="723"/>
      <c r="AB147" s="723"/>
      <c r="AC147" s="723"/>
      <c r="AD147" s="723"/>
      <c r="AE147" s="723"/>
      <c r="AF147" s="723"/>
      <c r="AG147" s="723"/>
      <c r="AH147" s="723">
        <f t="shared" si="1"/>
        <v>2396.4921278952916</v>
      </c>
      <c r="AI147" s="723"/>
      <c r="AJ147" s="723"/>
      <c r="AK147" s="723"/>
      <c r="AL147" s="723"/>
      <c r="AM147" s="723"/>
      <c r="AN147" s="723"/>
      <c r="AO147" s="723"/>
      <c r="AP147" s="723"/>
      <c r="AQ147" s="723"/>
      <c r="AR147" s="723">
        <v>0</v>
      </c>
      <c r="AS147" s="723"/>
      <c r="AT147" s="723"/>
      <c r="AU147" s="723"/>
      <c r="AV147" s="723"/>
      <c r="AW147" s="723"/>
      <c r="AX147" s="723"/>
      <c r="AY147" s="723"/>
      <c r="AZ147" s="723"/>
      <c r="BA147" s="723">
        <f t="shared" si="10"/>
        <v>2065.9226014409414</v>
      </c>
      <c r="BB147" s="723"/>
      <c r="BC147" s="723"/>
      <c r="BD147" s="723"/>
      <c r="BE147" s="723"/>
      <c r="BF147" s="723"/>
      <c r="BG147" s="723"/>
      <c r="BH147" s="723"/>
      <c r="BI147" s="723"/>
      <c r="BJ147" s="723">
        <f t="shared" si="2"/>
        <v>11148.047900626758</v>
      </c>
      <c r="BK147" s="723"/>
      <c r="BL147" s="723"/>
      <c r="BM147" s="723"/>
      <c r="BN147" s="723"/>
      <c r="BO147" s="723"/>
      <c r="BP147" s="723"/>
      <c r="BQ147" s="723"/>
      <c r="BR147" s="723">
        <f t="shared" si="35"/>
        <v>4029.5337968940303</v>
      </c>
      <c r="BS147" s="723"/>
      <c r="BT147" s="723"/>
      <c r="BU147" s="723"/>
      <c r="BV147" s="723"/>
      <c r="BW147" s="723"/>
      <c r="BX147" s="723"/>
      <c r="BY147" s="723"/>
      <c r="BZ147" s="723"/>
      <c r="CA147" s="723"/>
      <c r="CB147" s="8"/>
      <c r="CC147" s="285">
        <f t="shared" si="3"/>
        <v>1007.9294222959004</v>
      </c>
      <c r="CD147" s="285">
        <f t="shared" si="11"/>
        <v>11148.047900626758</v>
      </c>
      <c r="CF147" s="285">
        <f t="shared" si="12"/>
        <v>4308.436457226901</v>
      </c>
      <c r="CG147" s="285">
        <f t="shared" si="13"/>
        <v>1787.01994110807</v>
      </c>
      <c r="CH147" s="285">
        <f t="shared" si="36"/>
        <v>6095.456398334972</v>
      </c>
      <c r="CI147" s="285">
        <f t="shared" si="37"/>
        <v>1301.8442908914626</v>
      </c>
      <c r="CJ147" s="285"/>
      <c r="CK147" s="285">
        <f t="shared" si="54"/>
        <v>330.5695264543503</v>
      </c>
      <c r="CL147" s="285"/>
      <c r="CM147" s="286">
        <f t="shared" si="15"/>
        <v>588.101576411472</v>
      </c>
      <c r="CN147" s="311">
        <f t="shared" si="16"/>
        <v>540.5735321851911</v>
      </c>
      <c r="CP147" s="285">
        <f t="shared" si="17"/>
        <v>1128.675108596663</v>
      </c>
      <c r="CQ147" s="285">
        <f t="shared" si="38"/>
        <v>1301.8442908914626</v>
      </c>
      <c r="CR147" s="285"/>
      <c r="CS147" s="285">
        <f t="shared" si="18"/>
        <v>0.986</v>
      </c>
      <c r="CT147" s="286">
        <f t="shared" si="19"/>
        <v>1283.6184708189821</v>
      </c>
      <c r="CU147" s="311"/>
      <c r="CV147" s="312">
        <f t="shared" si="20"/>
        <v>1112.8736570763097</v>
      </c>
      <c r="CW147" s="311">
        <f t="shared" si="21"/>
        <v>2396.4921278952916</v>
      </c>
      <c r="CY147" s="285">
        <f t="shared" si="22"/>
        <v>3698.96427043968</v>
      </c>
      <c r="CZ147" s="285">
        <f t="shared" si="4"/>
        <v>3698.96427043968</v>
      </c>
      <c r="DA147" s="285">
        <f t="shared" si="23"/>
        <v>3698.96427043968</v>
      </c>
      <c r="DB147" s="3">
        <f t="shared" si="5"/>
        <v>0</v>
      </c>
      <c r="DC147" s="3">
        <f t="shared" si="24"/>
        <v>0</v>
      </c>
      <c r="DD147" s="3">
        <v>18</v>
      </c>
      <c r="DE147" s="285">
        <f t="shared" si="39"/>
        <v>454.25044150249994</v>
      </c>
      <c r="DF147" s="285">
        <f t="shared" si="40"/>
        <v>567.9903519010501</v>
      </c>
      <c r="DH147" s="286">
        <f t="shared" si="6"/>
        <v>447.89093532146495</v>
      </c>
      <c r="DI147" s="286">
        <f t="shared" si="25"/>
        <v>560.0384869744354</v>
      </c>
      <c r="DK147" s="286">
        <f t="shared" si="26"/>
        <v>1007.9294222959004</v>
      </c>
      <c r="DN147" s="3">
        <f t="shared" si="27"/>
        <v>11148.047900626758</v>
      </c>
      <c r="DO147" s="3">
        <f t="shared" si="28"/>
        <v>11148.047900626758</v>
      </c>
      <c r="DP147" s="3">
        <f t="shared" si="28"/>
        <v>0</v>
      </c>
      <c r="DQ147" s="3">
        <f t="shared" si="28"/>
        <v>0</v>
      </c>
      <c r="DR147" s="3">
        <f t="shared" si="28"/>
        <v>0</v>
      </c>
      <c r="DS147" s="3">
        <f t="shared" si="28"/>
        <v>0</v>
      </c>
      <c r="DT147" s="3">
        <f t="shared" si="28"/>
        <v>0</v>
      </c>
      <c r="DU147" s="3">
        <f t="shared" si="28"/>
        <v>0</v>
      </c>
      <c r="DV147" s="3">
        <f t="shared" si="28"/>
        <v>0</v>
      </c>
      <c r="DW147" s="3">
        <f t="shared" si="28"/>
        <v>0</v>
      </c>
      <c r="DX147" s="3">
        <f t="shared" si="28"/>
        <v>0</v>
      </c>
      <c r="DY147" s="3">
        <f t="shared" si="28"/>
        <v>0</v>
      </c>
      <c r="DZ147" s="3">
        <f t="shared" si="28"/>
        <v>0</v>
      </c>
      <c r="EA147" s="3">
        <f t="shared" si="28"/>
        <v>0</v>
      </c>
      <c r="EB147" s="3">
        <f aca="true" t="shared" si="58" ref="EB147:EL147">IF(EA147&lt;EA148,EA147,EA148)</f>
        <v>0</v>
      </c>
      <c r="EC147" s="3">
        <f t="shared" si="58"/>
        <v>0</v>
      </c>
      <c r="ED147" s="3">
        <f t="shared" si="58"/>
        <v>0</v>
      </c>
      <c r="EE147" s="3">
        <f t="shared" si="58"/>
        <v>0</v>
      </c>
      <c r="EF147" s="3">
        <f t="shared" si="58"/>
        <v>0</v>
      </c>
      <c r="EG147" s="3">
        <f t="shared" si="58"/>
        <v>0</v>
      </c>
      <c r="EH147" s="3">
        <f t="shared" si="58"/>
        <v>0</v>
      </c>
      <c r="EI147" s="3">
        <f t="shared" si="58"/>
        <v>0</v>
      </c>
      <c r="EJ147" s="3">
        <f t="shared" si="58"/>
        <v>0</v>
      </c>
      <c r="EK147" s="3">
        <f t="shared" si="58"/>
        <v>0</v>
      </c>
      <c r="EL147" s="3">
        <f t="shared" si="58"/>
        <v>0</v>
      </c>
      <c r="EM147" s="267">
        <f t="shared" si="42"/>
        <v>0</v>
      </c>
      <c r="EN147" s="267">
        <f t="shared" si="30"/>
        <v>0</v>
      </c>
      <c r="EO147" s="3">
        <f t="shared" si="31"/>
        <v>0</v>
      </c>
    </row>
    <row r="148" spans="1:145" s="3" customFormat="1" ht="15" customHeight="1">
      <c r="A148" s="3">
        <f t="shared" si="32"/>
        <v>1</v>
      </c>
      <c r="B148" s="689">
        <v>19</v>
      </c>
      <c r="C148" s="689"/>
      <c r="D148" s="726">
        <f t="shared" si="8"/>
        <v>6443.313582823989</v>
      </c>
      <c r="E148" s="726"/>
      <c r="F148" s="726"/>
      <c r="G148" s="726"/>
      <c r="H148" s="726"/>
      <c r="I148" s="726"/>
      <c r="J148" s="726"/>
      <c r="K148" s="726"/>
      <c r="L148" s="726"/>
      <c r="M148" s="726">
        <f t="shared" si="9"/>
        <v>0</v>
      </c>
      <c r="N148" s="726"/>
      <c r="O148" s="726"/>
      <c r="P148" s="726"/>
      <c r="Q148" s="726"/>
      <c r="R148" s="726"/>
      <c r="S148" s="726"/>
      <c r="T148" s="726"/>
      <c r="U148" s="726"/>
      <c r="V148" s="726"/>
      <c r="W148" s="723">
        <f t="shared" si="33"/>
        <v>340.4866122479808</v>
      </c>
      <c r="X148" s="723"/>
      <c r="Y148" s="723"/>
      <c r="Z148" s="723"/>
      <c r="AA148" s="723"/>
      <c r="AB148" s="723"/>
      <c r="AC148" s="723"/>
      <c r="AD148" s="723"/>
      <c r="AE148" s="723"/>
      <c r="AF148" s="723"/>
      <c r="AG148" s="723"/>
      <c r="AH148" s="723">
        <f t="shared" si="1"/>
        <v>2516.9995630630206</v>
      </c>
      <c r="AI148" s="723"/>
      <c r="AJ148" s="723"/>
      <c r="AK148" s="723"/>
      <c r="AL148" s="723"/>
      <c r="AM148" s="723"/>
      <c r="AN148" s="723"/>
      <c r="AO148" s="723"/>
      <c r="AP148" s="723"/>
      <c r="AQ148" s="723"/>
      <c r="AR148" s="723">
        <v>0</v>
      </c>
      <c r="AS148" s="723"/>
      <c r="AT148" s="723"/>
      <c r="AU148" s="723"/>
      <c r="AV148" s="723"/>
      <c r="AW148" s="723"/>
      <c r="AX148" s="723"/>
      <c r="AY148" s="723"/>
      <c r="AZ148" s="723"/>
      <c r="BA148" s="723">
        <f t="shared" si="10"/>
        <v>2176.51295081504</v>
      </c>
      <c r="BB148" s="723"/>
      <c r="BC148" s="723"/>
      <c r="BD148" s="723"/>
      <c r="BE148" s="723"/>
      <c r="BF148" s="723"/>
      <c r="BG148" s="723"/>
      <c r="BH148" s="723"/>
      <c r="BI148" s="723"/>
      <c r="BJ148" s="723">
        <f t="shared" si="2"/>
        <v>13324.560851441798</v>
      </c>
      <c r="BK148" s="723"/>
      <c r="BL148" s="723"/>
      <c r="BM148" s="723"/>
      <c r="BN148" s="723"/>
      <c r="BO148" s="723"/>
      <c r="BP148" s="723"/>
      <c r="BQ148" s="723"/>
      <c r="BR148" s="723">
        <f t="shared" si="35"/>
        <v>4266.80063200895</v>
      </c>
      <c r="BS148" s="723"/>
      <c r="BT148" s="723"/>
      <c r="BU148" s="723"/>
      <c r="BV148" s="723"/>
      <c r="BW148" s="723"/>
      <c r="BX148" s="723"/>
      <c r="BY148" s="723"/>
      <c r="BZ148" s="723"/>
      <c r="CA148" s="723"/>
      <c r="CB148" s="8"/>
      <c r="CC148" s="285">
        <f>IF(B148&lt;=$CF$120,DK148,0)</f>
        <v>1005.8849407090931</v>
      </c>
      <c r="CD148" s="285">
        <f t="shared" si="11"/>
        <v>13324.560851441798</v>
      </c>
      <c r="CF148" s="285">
        <f t="shared" si="12"/>
        <v>4566.942644660516</v>
      </c>
      <c r="CG148" s="285">
        <f t="shared" si="13"/>
        <v>1876.3709381634735</v>
      </c>
      <c r="CH148" s="285">
        <f t="shared" si="36"/>
        <v>6443.313582823989</v>
      </c>
      <c r="CI148" s="285">
        <f t="shared" si="37"/>
        <v>1366.9365054360358</v>
      </c>
      <c r="CJ148" s="285"/>
      <c r="CK148" s="285">
        <f t="shared" si="54"/>
        <v>340.4866122479808</v>
      </c>
      <c r="CL148" s="285"/>
      <c r="CM148" s="286">
        <f t="shared" si="15"/>
        <v>623.3876709961604</v>
      </c>
      <c r="CN148" s="311">
        <f t="shared" si="16"/>
        <v>567.6022087944507</v>
      </c>
      <c r="CP148" s="285">
        <f t="shared" si="17"/>
        <v>1190.9898797906112</v>
      </c>
      <c r="CQ148" s="285">
        <f t="shared" si="38"/>
        <v>1366.9365054360358</v>
      </c>
      <c r="CR148" s="285"/>
      <c r="CS148" s="285">
        <f t="shared" si="18"/>
        <v>0.984</v>
      </c>
      <c r="CT148" s="286">
        <f t="shared" si="19"/>
        <v>1345.065521349059</v>
      </c>
      <c r="CU148" s="311"/>
      <c r="CV148" s="312">
        <f t="shared" si="20"/>
        <v>1171.9340417139615</v>
      </c>
      <c r="CW148" s="311">
        <f t="shared" si="21"/>
        <v>2516.9995630630206</v>
      </c>
      <c r="CY148" s="285">
        <f t="shared" si="22"/>
        <v>3926.3140197609687</v>
      </c>
      <c r="CZ148" s="285">
        <f t="shared" si="4"/>
        <v>3926.3140197609687</v>
      </c>
      <c r="DA148" s="285">
        <f t="shared" si="23"/>
        <v>3926.3140197609687</v>
      </c>
      <c r="DB148" s="3">
        <f t="shared" si="5"/>
        <v>0</v>
      </c>
      <c r="DC148" s="3">
        <f t="shared" si="24"/>
        <v>0</v>
      </c>
      <c r="DD148" s="3">
        <v>19</v>
      </c>
      <c r="DE148" s="285">
        <f t="shared" si="39"/>
        <v>454.25044150249994</v>
      </c>
      <c r="DF148" s="285">
        <f t="shared" si="40"/>
        <v>567.9903519010501</v>
      </c>
      <c r="DH148" s="286">
        <f t="shared" si="6"/>
        <v>446.98243443845996</v>
      </c>
      <c r="DI148" s="286">
        <f t="shared" si="25"/>
        <v>558.9025062706332</v>
      </c>
      <c r="DK148" s="286">
        <f t="shared" si="26"/>
        <v>1005.8849407090931</v>
      </c>
      <c r="DN148" s="3">
        <f t="shared" si="27"/>
        <v>13324.560851441798</v>
      </c>
      <c r="DO148" s="3">
        <f t="shared" si="28"/>
        <v>0</v>
      </c>
      <c r="DP148" s="3">
        <f t="shared" si="28"/>
        <v>0</v>
      </c>
      <c r="DQ148" s="3">
        <f t="shared" si="28"/>
        <v>0</v>
      </c>
      <c r="DR148" s="3">
        <f t="shared" si="28"/>
        <v>0</v>
      </c>
      <c r="DS148" s="3">
        <f t="shared" si="28"/>
        <v>0</v>
      </c>
      <c r="DT148" s="3">
        <f t="shared" si="28"/>
        <v>0</v>
      </c>
      <c r="DU148" s="3">
        <f t="shared" si="28"/>
        <v>0</v>
      </c>
      <c r="DV148" s="3">
        <f t="shared" si="28"/>
        <v>0</v>
      </c>
      <c r="DW148" s="3">
        <f t="shared" si="28"/>
        <v>0</v>
      </c>
      <c r="DX148" s="3">
        <f t="shared" si="28"/>
        <v>0</v>
      </c>
      <c r="DY148" s="3">
        <f t="shared" si="28"/>
        <v>0</v>
      </c>
      <c r="DZ148" s="3">
        <f t="shared" si="28"/>
        <v>0</v>
      </c>
      <c r="EA148" s="3">
        <f t="shared" si="28"/>
        <v>0</v>
      </c>
      <c r="EB148" s="3">
        <f aca="true" t="shared" si="59" ref="EB148:EL148">IF(EA148&lt;EA149,EA148,EA149)</f>
        <v>0</v>
      </c>
      <c r="EC148" s="3">
        <f t="shared" si="59"/>
        <v>0</v>
      </c>
      <c r="ED148" s="3">
        <f t="shared" si="59"/>
        <v>0</v>
      </c>
      <c r="EE148" s="3">
        <f t="shared" si="59"/>
        <v>0</v>
      </c>
      <c r="EF148" s="3">
        <f t="shared" si="59"/>
        <v>0</v>
      </c>
      <c r="EG148" s="3">
        <f t="shared" si="59"/>
        <v>0</v>
      </c>
      <c r="EH148" s="3">
        <f t="shared" si="59"/>
        <v>0</v>
      </c>
      <c r="EI148" s="3">
        <f t="shared" si="59"/>
        <v>0</v>
      </c>
      <c r="EJ148" s="3">
        <f t="shared" si="59"/>
        <v>0</v>
      </c>
      <c r="EK148" s="3">
        <f t="shared" si="59"/>
        <v>0</v>
      </c>
      <c r="EL148" s="3">
        <f t="shared" si="59"/>
        <v>0</v>
      </c>
      <c r="EM148" s="267">
        <f t="shared" si="42"/>
        <v>0</v>
      </c>
      <c r="EN148" s="267">
        <f t="shared" si="30"/>
        <v>0</v>
      </c>
      <c r="EO148" s="3">
        <f t="shared" si="31"/>
        <v>0</v>
      </c>
    </row>
    <row r="149" spans="1:145" s="3" customFormat="1" ht="15" customHeight="1">
      <c r="A149" s="3">
        <f>IF(D149=0,0,1)</f>
        <v>1</v>
      </c>
      <c r="B149" s="689">
        <v>20</v>
      </c>
      <c r="C149" s="689"/>
      <c r="D149" s="726">
        <f t="shared" si="8"/>
        <v>6811.148688411794</v>
      </c>
      <c r="E149" s="726"/>
      <c r="F149" s="726"/>
      <c r="G149" s="726"/>
      <c r="H149" s="726"/>
      <c r="I149" s="726"/>
      <c r="J149" s="726"/>
      <c r="K149" s="726"/>
      <c r="L149" s="726"/>
      <c r="M149" s="726">
        <f t="shared" si="9"/>
        <v>0</v>
      </c>
      <c r="N149" s="726"/>
      <c r="O149" s="726"/>
      <c r="P149" s="726"/>
      <c r="Q149" s="726"/>
      <c r="R149" s="726"/>
      <c r="S149" s="726"/>
      <c r="T149" s="726"/>
      <c r="U149" s="726"/>
      <c r="V149" s="726"/>
      <c r="W149" s="723">
        <f t="shared" si="33"/>
        <v>350.7012106154202</v>
      </c>
      <c r="X149" s="723"/>
      <c r="Y149" s="723"/>
      <c r="Z149" s="723"/>
      <c r="AA149" s="723"/>
      <c r="AB149" s="723"/>
      <c r="AC149" s="723"/>
      <c r="AD149" s="723"/>
      <c r="AE149" s="723"/>
      <c r="AF149" s="723"/>
      <c r="AG149" s="723"/>
      <c r="AH149" s="723">
        <f t="shared" si="1"/>
        <v>2643.599562736378</v>
      </c>
      <c r="AI149" s="723"/>
      <c r="AJ149" s="723"/>
      <c r="AK149" s="723"/>
      <c r="AL149" s="723"/>
      <c r="AM149" s="723"/>
      <c r="AN149" s="723"/>
      <c r="AO149" s="723"/>
      <c r="AP149" s="723"/>
      <c r="AQ149" s="723"/>
      <c r="AR149" s="723">
        <v>0</v>
      </c>
      <c r="AS149" s="723"/>
      <c r="AT149" s="723"/>
      <c r="AU149" s="723"/>
      <c r="AV149" s="723"/>
      <c r="AW149" s="723"/>
      <c r="AX149" s="723"/>
      <c r="AY149" s="723"/>
      <c r="AZ149" s="723"/>
      <c r="BA149" s="723">
        <f t="shared" si="10"/>
        <v>2292.898352120958</v>
      </c>
      <c r="BB149" s="723"/>
      <c r="BC149" s="723"/>
      <c r="BD149" s="723"/>
      <c r="BE149" s="723"/>
      <c r="BF149" s="723"/>
      <c r="BG149" s="723"/>
      <c r="BH149" s="723"/>
      <c r="BI149" s="723"/>
      <c r="BJ149" s="723">
        <f t="shared" si="2"/>
        <v>15617.459203562756</v>
      </c>
      <c r="BK149" s="723"/>
      <c r="BL149" s="723"/>
      <c r="BM149" s="723"/>
      <c r="BN149" s="723"/>
      <c r="BO149" s="723"/>
      <c r="BP149" s="723"/>
      <c r="BQ149" s="723"/>
      <c r="BR149" s="723">
        <f t="shared" si="35"/>
        <v>4518.250336290836</v>
      </c>
      <c r="BS149" s="723"/>
      <c r="BT149" s="723"/>
      <c r="BU149" s="723"/>
      <c r="BV149" s="723"/>
      <c r="BW149" s="723"/>
      <c r="BX149" s="723"/>
      <c r="BY149" s="723"/>
      <c r="BZ149" s="723"/>
      <c r="CA149" s="723"/>
      <c r="CB149" s="8"/>
      <c r="CC149" s="285">
        <f t="shared" si="3"/>
        <v>1003.8404591222861</v>
      </c>
      <c r="CD149" s="285">
        <f t="shared" si="11"/>
        <v>15617.459203562756</v>
      </c>
      <c r="CF149" s="285">
        <f t="shared" si="12"/>
        <v>4840.959203340147</v>
      </c>
      <c r="CG149" s="285">
        <f t="shared" si="13"/>
        <v>1970.1894850716474</v>
      </c>
      <c r="CH149" s="285">
        <f t="shared" si="36"/>
        <v>6811.148688411794</v>
      </c>
      <c r="CI149" s="285">
        <f t="shared" si="37"/>
        <v>1435.2833307078376</v>
      </c>
      <c r="CJ149" s="285"/>
      <c r="CK149" s="285">
        <f t="shared" si="54"/>
        <v>350.7012106154202</v>
      </c>
      <c r="CL149" s="285"/>
      <c r="CM149" s="286">
        <f t="shared" si="15"/>
        <v>660.7909312559301</v>
      </c>
      <c r="CN149" s="311">
        <f t="shared" si="16"/>
        <v>595.9823192341732</v>
      </c>
      <c r="CP149" s="285">
        <f t="shared" si="17"/>
        <v>1256.7732504901032</v>
      </c>
      <c r="CQ149" s="285">
        <f t="shared" si="38"/>
        <v>1435.2833307078376</v>
      </c>
      <c r="CR149" s="285"/>
      <c r="CS149" s="285">
        <f t="shared" si="18"/>
        <v>0.982</v>
      </c>
      <c r="CT149" s="286">
        <f t="shared" si="19"/>
        <v>1409.4482307550966</v>
      </c>
      <c r="CU149" s="311"/>
      <c r="CV149" s="312">
        <f t="shared" si="20"/>
        <v>1234.1513319812814</v>
      </c>
      <c r="CW149" s="311">
        <f t="shared" si="21"/>
        <v>2643.599562736378</v>
      </c>
      <c r="CY149" s="285">
        <f t="shared" si="22"/>
        <v>4167.549125675416</v>
      </c>
      <c r="CZ149" s="285">
        <f t="shared" si="4"/>
        <v>4167.549125675416</v>
      </c>
      <c r="DA149" s="285">
        <f t="shared" si="23"/>
        <v>4167.549125675416</v>
      </c>
      <c r="DB149" s="3">
        <f t="shared" si="5"/>
        <v>0</v>
      </c>
      <c r="DC149" s="3">
        <f t="shared" si="24"/>
        <v>0</v>
      </c>
      <c r="DD149" s="3">
        <v>20</v>
      </c>
      <c r="DE149" s="285">
        <f t="shared" si="39"/>
        <v>454.25044150249994</v>
      </c>
      <c r="DF149" s="285">
        <f t="shared" si="40"/>
        <v>567.9903519010501</v>
      </c>
      <c r="DH149" s="286">
        <f t="shared" si="6"/>
        <v>446.0739335554549</v>
      </c>
      <c r="DI149" s="286">
        <f t="shared" si="25"/>
        <v>557.7665255668312</v>
      </c>
      <c r="DK149" s="286">
        <f t="shared" si="26"/>
        <v>1003.8404591222861</v>
      </c>
      <c r="DN149" s="3">
        <f t="shared" si="27"/>
        <v>0</v>
      </c>
      <c r="DO149" s="3">
        <f t="shared" si="28"/>
        <v>0</v>
      </c>
      <c r="DP149" s="3">
        <f t="shared" si="28"/>
        <v>0</v>
      </c>
      <c r="DQ149" s="3">
        <f t="shared" si="28"/>
        <v>0</v>
      </c>
      <c r="DR149" s="3">
        <f t="shared" si="28"/>
        <v>0</v>
      </c>
      <c r="DS149" s="3">
        <f t="shared" si="28"/>
        <v>0</v>
      </c>
      <c r="DT149" s="3">
        <f t="shared" si="28"/>
        <v>0</v>
      </c>
      <c r="DU149" s="3">
        <f t="shared" si="28"/>
        <v>0</v>
      </c>
      <c r="DV149" s="3">
        <f t="shared" si="28"/>
        <v>0</v>
      </c>
      <c r="DW149" s="3">
        <f t="shared" si="28"/>
        <v>0</v>
      </c>
      <c r="DX149" s="3">
        <f t="shared" si="28"/>
        <v>0</v>
      </c>
      <c r="DY149" s="3">
        <f t="shared" si="28"/>
        <v>0</v>
      </c>
      <c r="DZ149" s="3">
        <f t="shared" si="28"/>
        <v>0</v>
      </c>
      <c r="EA149" s="3">
        <f t="shared" si="28"/>
        <v>0</v>
      </c>
      <c r="EB149" s="3">
        <f aca="true" t="shared" si="60" ref="EB149:EL154">IF(EA149&lt;EA150,EA149,EA150)</f>
        <v>0</v>
      </c>
      <c r="EC149" s="3">
        <f t="shared" si="60"/>
        <v>0</v>
      </c>
      <c r="ED149" s="3">
        <f t="shared" si="60"/>
        <v>0</v>
      </c>
      <c r="EE149" s="3">
        <f t="shared" si="60"/>
        <v>0</v>
      </c>
      <c r="EF149" s="3">
        <f t="shared" si="60"/>
        <v>0</v>
      </c>
      <c r="EG149" s="3">
        <f t="shared" si="60"/>
        <v>0</v>
      </c>
      <c r="EH149" s="3">
        <f t="shared" si="60"/>
        <v>0</v>
      </c>
      <c r="EI149" s="3">
        <f t="shared" si="60"/>
        <v>0</v>
      </c>
      <c r="EJ149" s="3">
        <f t="shared" si="60"/>
        <v>0</v>
      </c>
      <c r="EK149" s="3">
        <f t="shared" si="60"/>
        <v>0</v>
      </c>
      <c r="EL149" s="3">
        <f t="shared" si="60"/>
        <v>0</v>
      </c>
      <c r="EM149" s="267">
        <f t="shared" si="42"/>
        <v>0</v>
      </c>
      <c r="EN149" s="267">
        <f t="shared" si="30"/>
        <v>0</v>
      </c>
      <c r="EO149" s="3">
        <f t="shared" si="31"/>
        <v>0</v>
      </c>
    </row>
    <row r="150" spans="1:145" s="3" customFormat="1" ht="15" customHeight="1">
      <c r="A150" s="3">
        <f t="shared" si="32"/>
        <v>0</v>
      </c>
      <c r="B150" s="689">
        <v>21</v>
      </c>
      <c r="C150" s="689"/>
      <c r="D150" s="726">
        <f t="shared" si="8"/>
        <v>0</v>
      </c>
      <c r="E150" s="726"/>
      <c r="F150" s="726"/>
      <c r="G150" s="726"/>
      <c r="H150" s="726"/>
      <c r="I150" s="726"/>
      <c r="J150" s="726"/>
      <c r="K150" s="726"/>
      <c r="L150" s="726"/>
      <c r="M150" s="726">
        <f t="shared" si="9"/>
        <v>0</v>
      </c>
      <c r="N150" s="726"/>
      <c r="O150" s="726"/>
      <c r="P150" s="726"/>
      <c r="Q150" s="726"/>
      <c r="R150" s="726"/>
      <c r="S150" s="726"/>
      <c r="T150" s="726"/>
      <c r="U150" s="726"/>
      <c r="V150" s="726"/>
      <c r="W150" s="723">
        <f t="shared" si="33"/>
        <v>0</v>
      </c>
      <c r="X150" s="723"/>
      <c r="Y150" s="723"/>
      <c r="Z150" s="723"/>
      <c r="AA150" s="723"/>
      <c r="AB150" s="723"/>
      <c r="AC150" s="723"/>
      <c r="AD150" s="723"/>
      <c r="AE150" s="723"/>
      <c r="AF150" s="723"/>
      <c r="AG150" s="723"/>
      <c r="AH150" s="723">
        <f t="shared" si="1"/>
        <v>0</v>
      </c>
      <c r="AI150" s="723"/>
      <c r="AJ150" s="723"/>
      <c r="AK150" s="723"/>
      <c r="AL150" s="723"/>
      <c r="AM150" s="723"/>
      <c r="AN150" s="723"/>
      <c r="AO150" s="723"/>
      <c r="AP150" s="723"/>
      <c r="AQ150" s="723"/>
      <c r="AR150" s="723">
        <v>0</v>
      </c>
      <c r="AS150" s="723"/>
      <c r="AT150" s="723"/>
      <c r="AU150" s="723"/>
      <c r="AV150" s="723"/>
      <c r="AW150" s="723"/>
      <c r="AX150" s="723"/>
      <c r="AY150" s="723"/>
      <c r="AZ150" s="723"/>
      <c r="BA150" s="723">
        <f t="shared" si="10"/>
        <v>0</v>
      </c>
      <c r="BB150" s="723"/>
      <c r="BC150" s="723"/>
      <c r="BD150" s="723"/>
      <c r="BE150" s="723"/>
      <c r="BF150" s="723"/>
      <c r="BG150" s="723"/>
      <c r="BH150" s="723"/>
      <c r="BI150" s="723"/>
      <c r="BJ150" s="723">
        <f t="shared" si="2"/>
        <v>0</v>
      </c>
      <c r="BK150" s="723"/>
      <c r="BL150" s="723"/>
      <c r="BM150" s="723"/>
      <c r="BN150" s="723"/>
      <c r="BO150" s="723"/>
      <c r="BP150" s="723"/>
      <c r="BQ150" s="723"/>
      <c r="BR150" s="723">
        <f t="shared" si="35"/>
        <v>0</v>
      </c>
      <c r="BS150" s="723"/>
      <c r="BT150" s="723"/>
      <c r="BU150" s="723"/>
      <c r="BV150" s="723"/>
      <c r="BW150" s="723"/>
      <c r="BX150" s="723"/>
      <c r="BY150" s="723"/>
      <c r="BZ150" s="723"/>
      <c r="CA150" s="723"/>
      <c r="CB150" s="8"/>
      <c r="CC150" s="285">
        <f t="shared" si="3"/>
        <v>0</v>
      </c>
      <c r="CD150" s="285">
        <f t="shared" si="11"/>
        <v>15617.459203562756</v>
      </c>
      <c r="CF150" s="285">
        <f t="shared" si="12"/>
        <v>5131.416755540556</v>
      </c>
      <c r="CG150" s="285">
        <f t="shared" si="13"/>
        <v>2068.6989593252297</v>
      </c>
      <c r="CH150" s="285">
        <f t="shared" si="36"/>
        <v>7200.115714865786</v>
      </c>
      <c r="CI150" s="285">
        <f>CI149*$CG$125</f>
        <v>1507.0474972432296</v>
      </c>
      <c r="CJ150" s="285"/>
      <c r="CK150" s="285">
        <f t="shared" si="54"/>
        <v>361.22224693388284</v>
      </c>
      <c r="CL150" s="285"/>
      <c r="CM150" s="286">
        <f t="shared" si="15"/>
        <v>700.4383871312859</v>
      </c>
      <c r="CN150" s="311">
        <f t="shared" si="16"/>
        <v>625.781435195882</v>
      </c>
      <c r="CP150" s="285">
        <f t="shared" si="17"/>
        <v>1326.219822327168</v>
      </c>
      <c r="CQ150" s="285">
        <f>CI150</f>
        <v>1507.0474972432296</v>
      </c>
      <c r="CR150" s="285"/>
      <c r="CS150" s="285">
        <f t="shared" si="18"/>
        <v>0.98</v>
      </c>
      <c r="CT150" s="286">
        <f t="shared" si="19"/>
        <v>1476.906547298365</v>
      </c>
      <c r="CU150" s="311"/>
      <c r="CV150" s="312">
        <f t="shared" si="20"/>
        <v>1299.6954258806247</v>
      </c>
      <c r="CW150" s="311">
        <f t="shared" si="21"/>
        <v>2776.6019731789897</v>
      </c>
      <c r="CY150" s="285">
        <f t="shared" si="22"/>
        <v>0</v>
      </c>
      <c r="CZ150" s="285">
        <f t="shared" si="4"/>
        <v>0</v>
      </c>
      <c r="DA150" s="285">
        <f t="shared" si="23"/>
        <v>0</v>
      </c>
      <c r="DB150" s="3">
        <f t="shared" si="5"/>
        <v>0</v>
      </c>
      <c r="DC150" s="3">
        <f t="shared" si="24"/>
        <v>0</v>
      </c>
      <c r="DD150" s="3">
        <v>21</v>
      </c>
      <c r="DE150" s="285">
        <f t="shared" si="39"/>
        <v>454.25044150249994</v>
      </c>
      <c r="DF150" s="285">
        <f>CI130</f>
        <v>567.9903519010501</v>
      </c>
      <c r="DH150" s="286">
        <f t="shared" si="6"/>
        <v>445.1654326724499</v>
      </c>
      <c r="DI150" s="286">
        <f t="shared" si="25"/>
        <v>556.6305448630291</v>
      </c>
      <c r="DK150" s="286">
        <f t="shared" si="26"/>
        <v>1001.795977535479</v>
      </c>
      <c r="DN150" s="3">
        <f t="shared" si="27"/>
        <v>0</v>
      </c>
      <c r="DO150" s="3">
        <f aca="true" t="shared" si="61" ref="DO150:EA154">IF(DN150&lt;DN151,DN150,DN151)</f>
        <v>0</v>
      </c>
      <c r="DP150" s="3">
        <f t="shared" si="61"/>
        <v>0</v>
      </c>
      <c r="DQ150" s="3">
        <f t="shared" si="61"/>
        <v>0</v>
      </c>
      <c r="DR150" s="3">
        <f t="shared" si="61"/>
        <v>0</v>
      </c>
      <c r="DS150" s="3">
        <f t="shared" si="61"/>
        <v>0</v>
      </c>
      <c r="DT150" s="3">
        <f t="shared" si="61"/>
        <v>0</v>
      </c>
      <c r="DU150" s="3">
        <f t="shared" si="61"/>
        <v>0</v>
      </c>
      <c r="DV150" s="3">
        <f t="shared" si="61"/>
        <v>0</v>
      </c>
      <c r="DW150" s="3">
        <f t="shared" si="61"/>
        <v>0</v>
      </c>
      <c r="DX150" s="3">
        <f t="shared" si="61"/>
        <v>0</v>
      </c>
      <c r="DY150" s="3">
        <f t="shared" si="61"/>
        <v>0</v>
      </c>
      <c r="DZ150" s="3">
        <f t="shared" si="61"/>
        <v>0</v>
      </c>
      <c r="EA150" s="3">
        <f t="shared" si="61"/>
        <v>0</v>
      </c>
      <c r="EB150" s="3">
        <f t="shared" si="60"/>
        <v>0</v>
      </c>
      <c r="EC150" s="3">
        <f t="shared" si="60"/>
        <v>0</v>
      </c>
      <c r="ED150" s="3">
        <f t="shared" si="60"/>
        <v>0</v>
      </c>
      <c r="EE150" s="3">
        <f t="shared" si="60"/>
        <v>0</v>
      </c>
      <c r="EF150" s="3">
        <f t="shared" si="60"/>
        <v>0</v>
      </c>
      <c r="EG150" s="3">
        <f t="shared" si="60"/>
        <v>0</v>
      </c>
      <c r="EH150" s="3">
        <f t="shared" si="60"/>
        <v>0</v>
      </c>
      <c r="EI150" s="3">
        <f t="shared" si="60"/>
        <v>0</v>
      </c>
      <c r="EJ150" s="3">
        <f t="shared" si="60"/>
        <v>0</v>
      </c>
      <c r="EK150" s="3">
        <f t="shared" si="60"/>
        <v>0</v>
      </c>
      <c r="EL150" s="3">
        <f t="shared" si="60"/>
        <v>0</v>
      </c>
      <c r="EM150" s="267">
        <f t="shared" si="42"/>
        <v>0</v>
      </c>
      <c r="EN150" s="267">
        <f t="shared" si="30"/>
        <v>21</v>
      </c>
      <c r="EO150" s="3">
        <f t="shared" si="31"/>
        <v>0</v>
      </c>
    </row>
    <row r="151" spans="1:145" s="3" customFormat="1" ht="15" customHeight="1">
      <c r="A151" s="3">
        <f t="shared" si="32"/>
        <v>0</v>
      </c>
      <c r="B151" s="689">
        <v>22</v>
      </c>
      <c r="C151" s="689"/>
      <c r="D151" s="726">
        <f>IF(B151&lt;=$CF$120,CH151,0)</f>
        <v>0</v>
      </c>
      <c r="E151" s="726"/>
      <c r="F151" s="726"/>
      <c r="G151" s="726"/>
      <c r="H151" s="726"/>
      <c r="I151" s="726"/>
      <c r="J151" s="726"/>
      <c r="K151" s="726"/>
      <c r="L151" s="726"/>
      <c r="M151" s="726">
        <f t="shared" si="9"/>
        <v>0</v>
      </c>
      <c r="N151" s="726"/>
      <c r="O151" s="726"/>
      <c r="P151" s="726"/>
      <c r="Q151" s="726"/>
      <c r="R151" s="726"/>
      <c r="S151" s="726"/>
      <c r="T151" s="726"/>
      <c r="U151" s="726"/>
      <c r="V151" s="726"/>
      <c r="W151" s="723">
        <f t="shared" si="33"/>
        <v>0</v>
      </c>
      <c r="X151" s="723"/>
      <c r="Y151" s="723"/>
      <c r="Z151" s="723"/>
      <c r="AA151" s="723"/>
      <c r="AB151" s="723"/>
      <c r="AC151" s="723"/>
      <c r="AD151" s="723"/>
      <c r="AE151" s="723"/>
      <c r="AF151" s="723"/>
      <c r="AG151" s="723"/>
      <c r="AH151" s="723">
        <f t="shared" si="1"/>
        <v>0</v>
      </c>
      <c r="AI151" s="723"/>
      <c r="AJ151" s="723"/>
      <c r="AK151" s="723"/>
      <c r="AL151" s="723"/>
      <c r="AM151" s="723"/>
      <c r="AN151" s="723"/>
      <c r="AO151" s="723"/>
      <c r="AP151" s="723"/>
      <c r="AQ151" s="723"/>
      <c r="AR151" s="723">
        <v>0</v>
      </c>
      <c r="AS151" s="723"/>
      <c r="AT151" s="723"/>
      <c r="AU151" s="723"/>
      <c r="AV151" s="723"/>
      <c r="AW151" s="723"/>
      <c r="AX151" s="723"/>
      <c r="AY151" s="723"/>
      <c r="AZ151" s="723"/>
      <c r="BA151" s="723">
        <f t="shared" si="10"/>
        <v>0</v>
      </c>
      <c r="BB151" s="723"/>
      <c r="BC151" s="723"/>
      <c r="BD151" s="723"/>
      <c r="BE151" s="723"/>
      <c r="BF151" s="723"/>
      <c r="BG151" s="723"/>
      <c r="BH151" s="723"/>
      <c r="BI151" s="723"/>
      <c r="BJ151" s="723">
        <f t="shared" si="2"/>
        <v>0</v>
      </c>
      <c r="BK151" s="723"/>
      <c r="BL151" s="723"/>
      <c r="BM151" s="723"/>
      <c r="BN151" s="723"/>
      <c r="BO151" s="723"/>
      <c r="BP151" s="723"/>
      <c r="BQ151" s="723"/>
      <c r="BR151" s="723">
        <f t="shared" si="35"/>
        <v>0</v>
      </c>
      <c r="BS151" s="723"/>
      <c r="BT151" s="723"/>
      <c r="BU151" s="723"/>
      <c r="BV151" s="723"/>
      <c r="BW151" s="723"/>
      <c r="BX151" s="723"/>
      <c r="BY151" s="723"/>
      <c r="BZ151" s="723"/>
      <c r="CA151" s="723"/>
      <c r="CB151" s="8"/>
      <c r="CC151" s="285">
        <f t="shared" si="3"/>
        <v>0</v>
      </c>
      <c r="CD151" s="285">
        <f t="shared" si="11"/>
        <v>15617.459203562756</v>
      </c>
      <c r="CF151" s="285">
        <f t="shared" si="12"/>
        <v>5439.30176087299</v>
      </c>
      <c r="CG151" s="285">
        <f t="shared" si="13"/>
        <v>2172.133907291491</v>
      </c>
      <c r="CH151" s="285">
        <f t="shared" si="36"/>
        <v>7611.43566816448</v>
      </c>
      <c r="CI151" s="285">
        <f t="shared" si="37"/>
        <v>1582.399872105391</v>
      </c>
      <c r="CJ151" s="285"/>
      <c r="CK151" s="285">
        <f t="shared" si="54"/>
        <v>372.0589143418993</v>
      </c>
      <c r="CL151" s="285"/>
      <c r="CM151" s="286">
        <f t="shared" si="15"/>
        <v>742.4646903591631</v>
      </c>
      <c r="CN151" s="311">
        <f t="shared" si="16"/>
        <v>657.070506955676</v>
      </c>
      <c r="CP151" s="285">
        <f t="shared" si="17"/>
        <v>1399.535197314839</v>
      </c>
      <c r="CQ151" s="285">
        <f>CI151</f>
        <v>1582.399872105391</v>
      </c>
      <c r="CR151" s="285"/>
      <c r="CS151" s="285">
        <f t="shared" si="18"/>
        <v>0.978</v>
      </c>
      <c r="CT151" s="286">
        <f t="shared" si="19"/>
        <v>1547.5870749190724</v>
      </c>
      <c r="CU151" s="311"/>
      <c r="CV151" s="312">
        <f t="shared" si="20"/>
        <v>1368.7454229739126</v>
      </c>
      <c r="CW151" s="311">
        <f t="shared" si="21"/>
        <v>2916.332497892985</v>
      </c>
      <c r="CY151" s="285">
        <f t="shared" si="22"/>
        <v>0</v>
      </c>
      <c r="CZ151" s="285">
        <f t="shared" si="4"/>
        <v>0</v>
      </c>
      <c r="DA151" s="285">
        <f t="shared" si="23"/>
        <v>0</v>
      </c>
      <c r="DB151" s="3">
        <f t="shared" si="5"/>
        <v>0</v>
      </c>
      <c r="DC151" s="3">
        <f t="shared" si="24"/>
        <v>0</v>
      </c>
      <c r="DD151" s="3">
        <v>22</v>
      </c>
      <c r="DE151" s="285">
        <f t="shared" si="39"/>
        <v>454.25044150249994</v>
      </c>
      <c r="DF151" s="285">
        <f>DF150</f>
        <v>567.9903519010501</v>
      </c>
      <c r="DH151" s="286">
        <f t="shared" si="6"/>
        <v>444.25693178944493</v>
      </c>
      <c r="DI151" s="286">
        <f t="shared" si="25"/>
        <v>555.4945641592269</v>
      </c>
      <c r="DK151" s="286">
        <f t="shared" si="26"/>
        <v>999.7514959486718</v>
      </c>
      <c r="DN151" s="3">
        <f t="shared" si="27"/>
        <v>0</v>
      </c>
      <c r="DO151" s="3">
        <f t="shared" si="61"/>
        <v>0</v>
      </c>
      <c r="DP151" s="3">
        <f t="shared" si="61"/>
        <v>0</v>
      </c>
      <c r="DQ151" s="3">
        <f t="shared" si="61"/>
        <v>0</v>
      </c>
      <c r="DR151" s="3">
        <f t="shared" si="61"/>
        <v>0</v>
      </c>
      <c r="DS151" s="3">
        <f t="shared" si="61"/>
        <v>0</v>
      </c>
      <c r="DT151" s="3">
        <f t="shared" si="61"/>
        <v>0</v>
      </c>
      <c r="DU151" s="3">
        <f t="shared" si="61"/>
        <v>0</v>
      </c>
      <c r="DV151" s="3">
        <f t="shared" si="61"/>
        <v>0</v>
      </c>
      <c r="DW151" s="3">
        <f t="shared" si="61"/>
        <v>0</v>
      </c>
      <c r="DX151" s="3">
        <f t="shared" si="61"/>
        <v>0</v>
      </c>
      <c r="DY151" s="3">
        <f t="shared" si="61"/>
        <v>0</v>
      </c>
      <c r="DZ151" s="3">
        <f t="shared" si="61"/>
        <v>0</v>
      </c>
      <c r="EA151" s="3">
        <f t="shared" si="61"/>
        <v>0</v>
      </c>
      <c r="EB151" s="3">
        <f t="shared" si="60"/>
        <v>0</v>
      </c>
      <c r="EC151" s="3">
        <f t="shared" si="60"/>
        <v>0</v>
      </c>
      <c r="ED151" s="3">
        <f t="shared" si="60"/>
        <v>0</v>
      </c>
      <c r="EE151" s="3">
        <f t="shared" si="60"/>
        <v>0</v>
      </c>
      <c r="EF151" s="3">
        <f t="shared" si="60"/>
        <v>0</v>
      </c>
      <c r="EG151" s="3">
        <f t="shared" si="60"/>
        <v>0</v>
      </c>
      <c r="EH151" s="3">
        <f t="shared" si="60"/>
        <v>0</v>
      </c>
      <c r="EI151" s="3">
        <f t="shared" si="60"/>
        <v>0</v>
      </c>
      <c r="EJ151" s="3">
        <f t="shared" si="60"/>
        <v>0</v>
      </c>
      <c r="EK151" s="3">
        <f t="shared" si="60"/>
        <v>0</v>
      </c>
      <c r="EL151" s="3">
        <f t="shared" si="60"/>
        <v>0</v>
      </c>
      <c r="EM151" s="267">
        <f t="shared" si="42"/>
        <v>0</v>
      </c>
      <c r="EN151" s="267">
        <f t="shared" si="30"/>
        <v>22</v>
      </c>
      <c r="EO151" s="3">
        <f t="shared" si="31"/>
        <v>0</v>
      </c>
    </row>
    <row r="152" spans="1:145" s="3" customFormat="1" ht="15">
      <c r="A152" s="3">
        <f t="shared" si="32"/>
        <v>0</v>
      </c>
      <c r="B152" s="689">
        <v>23</v>
      </c>
      <c r="C152" s="689"/>
      <c r="D152" s="726">
        <f t="shared" si="8"/>
        <v>0</v>
      </c>
      <c r="E152" s="726"/>
      <c r="F152" s="726"/>
      <c r="G152" s="726"/>
      <c r="H152" s="726"/>
      <c r="I152" s="726"/>
      <c r="J152" s="726"/>
      <c r="K152" s="726"/>
      <c r="L152" s="726"/>
      <c r="M152" s="726">
        <f t="shared" si="9"/>
        <v>0</v>
      </c>
      <c r="N152" s="726"/>
      <c r="O152" s="726"/>
      <c r="P152" s="726"/>
      <c r="Q152" s="726"/>
      <c r="R152" s="726"/>
      <c r="S152" s="726"/>
      <c r="T152" s="726"/>
      <c r="U152" s="726"/>
      <c r="V152" s="726"/>
      <c r="W152" s="723">
        <f t="shared" si="33"/>
        <v>0</v>
      </c>
      <c r="X152" s="723"/>
      <c r="Y152" s="723"/>
      <c r="Z152" s="723"/>
      <c r="AA152" s="723"/>
      <c r="AB152" s="723"/>
      <c r="AC152" s="723"/>
      <c r="AD152" s="723"/>
      <c r="AE152" s="723"/>
      <c r="AF152" s="723"/>
      <c r="AG152" s="723"/>
      <c r="AH152" s="723">
        <f t="shared" si="1"/>
        <v>0</v>
      </c>
      <c r="AI152" s="723"/>
      <c r="AJ152" s="723"/>
      <c r="AK152" s="723"/>
      <c r="AL152" s="723"/>
      <c r="AM152" s="723"/>
      <c r="AN152" s="723"/>
      <c r="AO152" s="723"/>
      <c r="AP152" s="723"/>
      <c r="AQ152" s="723"/>
      <c r="AR152" s="723">
        <v>0</v>
      </c>
      <c r="AS152" s="723"/>
      <c r="AT152" s="723"/>
      <c r="AU152" s="723"/>
      <c r="AV152" s="723"/>
      <c r="AW152" s="723"/>
      <c r="AX152" s="723"/>
      <c r="AY152" s="723"/>
      <c r="AZ152" s="723"/>
      <c r="BA152" s="723">
        <f t="shared" si="10"/>
        <v>0</v>
      </c>
      <c r="BB152" s="723"/>
      <c r="BC152" s="723"/>
      <c r="BD152" s="723"/>
      <c r="BE152" s="723"/>
      <c r="BF152" s="723"/>
      <c r="BG152" s="723"/>
      <c r="BH152" s="723"/>
      <c r="BI152" s="723"/>
      <c r="BJ152" s="723">
        <f t="shared" si="2"/>
        <v>0</v>
      </c>
      <c r="BK152" s="723"/>
      <c r="BL152" s="723"/>
      <c r="BM152" s="723"/>
      <c r="BN152" s="723"/>
      <c r="BO152" s="723"/>
      <c r="BP152" s="723"/>
      <c r="BQ152" s="723"/>
      <c r="BR152" s="723">
        <f t="shared" si="35"/>
        <v>0</v>
      </c>
      <c r="BS152" s="723"/>
      <c r="BT152" s="723"/>
      <c r="BU152" s="723"/>
      <c r="BV152" s="723"/>
      <c r="BW152" s="723"/>
      <c r="BX152" s="723"/>
      <c r="BY152" s="723"/>
      <c r="BZ152" s="723"/>
      <c r="CA152" s="723"/>
      <c r="CB152" s="8"/>
      <c r="CC152" s="285">
        <f t="shared" si="3"/>
        <v>0</v>
      </c>
      <c r="CD152" s="285">
        <f t="shared" si="11"/>
        <v>15617.459203562756</v>
      </c>
      <c r="CF152" s="285">
        <f t="shared" si="12"/>
        <v>5765.65986652537</v>
      </c>
      <c r="CG152" s="285">
        <f t="shared" si="13"/>
        <v>2280.7406026560657</v>
      </c>
      <c r="CH152" s="285">
        <f t="shared" si="36"/>
        <v>8046.400469181435</v>
      </c>
      <c r="CI152" s="285">
        <f t="shared" si="37"/>
        <v>1661.5198657106607</v>
      </c>
      <c r="CJ152" s="285"/>
      <c r="CK152" s="285">
        <f t="shared" si="54"/>
        <v>383.2206817721563</v>
      </c>
      <c r="CL152" s="285"/>
      <c r="CM152" s="286">
        <f t="shared" si="15"/>
        <v>787.012571780713</v>
      </c>
      <c r="CN152" s="311">
        <f t="shared" si="16"/>
        <v>689.9240323034599</v>
      </c>
      <c r="CP152" s="285">
        <f t="shared" si="17"/>
        <v>1476.9366040841728</v>
      </c>
      <c r="CQ152" s="285">
        <f>CI152</f>
        <v>1661.5198657106607</v>
      </c>
      <c r="CR152" s="285"/>
      <c r="CS152" s="285">
        <f t="shared" si="18"/>
        <v>0.976</v>
      </c>
      <c r="CT152" s="286">
        <f t="shared" si="19"/>
        <v>1621.643388933605</v>
      </c>
      <c r="CU152" s="311"/>
      <c r="CV152" s="312">
        <f t="shared" si="20"/>
        <v>1441.4901255861525</v>
      </c>
      <c r="CW152" s="311">
        <f t="shared" si="21"/>
        <v>3063.1335145197572</v>
      </c>
      <c r="CY152" s="285">
        <f t="shared" si="22"/>
        <v>0</v>
      </c>
      <c r="CZ152" s="285">
        <f t="shared" si="4"/>
        <v>0</v>
      </c>
      <c r="DA152" s="285">
        <f t="shared" si="23"/>
        <v>0</v>
      </c>
      <c r="DB152" s="3">
        <f t="shared" si="5"/>
        <v>0</v>
      </c>
      <c r="DC152" s="3">
        <f t="shared" si="24"/>
        <v>0</v>
      </c>
      <c r="DD152" s="3">
        <v>23</v>
      </c>
      <c r="DE152" s="285">
        <f t="shared" si="39"/>
        <v>454.25044150249994</v>
      </c>
      <c r="DF152" s="285">
        <f t="shared" si="39"/>
        <v>567.9903519010501</v>
      </c>
      <c r="DH152" s="286">
        <f t="shared" si="6"/>
        <v>443.34843090643994</v>
      </c>
      <c r="DI152" s="286">
        <f t="shared" si="25"/>
        <v>554.3585834554249</v>
      </c>
      <c r="DK152" s="286">
        <f t="shared" si="26"/>
        <v>997.7070143618648</v>
      </c>
      <c r="DN152" s="3">
        <f t="shared" si="27"/>
        <v>0</v>
      </c>
      <c r="DO152" s="3">
        <f t="shared" si="61"/>
        <v>0</v>
      </c>
      <c r="DP152" s="3">
        <f t="shared" si="61"/>
        <v>0</v>
      </c>
      <c r="DQ152" s="3">
        <f t="shared" si="61"/>
        <v>0</v>
      </c>
      <c r="DR152" s="3">
        <f t="shared" si="61"/>
        <v>0</v>
      </c>
      <c r="DS152" s="3">
        <f t="shared" si="61"/>
        <v>0</v>
      </c>
      <c r="DT152" s="3">
        <f t="shared" si="61"/>
        <v>0</v>
      </c>
      <c r="DU152" s="3">
        <f t="shared" si="61"/>
        <v>0</v>
      </c>
      <c r="DV152" s="3">
        <f t="shared" si="61"/>
        <v>0</v>
      </c>
      <c r="DW152" s="3">
        <f t="shared" si="61"/>
        <v>0</v>
      </c>
      <c r="DX152" s="3">
        <f t="shared" si="61"/>
        <v>0</v>
      </c>
      <c r="DY152" s="3">
        <f t="shared" si="61"/>
        <v>0</v>
      </c>
      <c r="DZ152" s="3">
        <f t="shared" si="61"/>
        <v>0</v>
      </c>
      <c r="EA152" s="3">
        <f t="shared" si="61"/>
        <v>0</v>
      </c>
      <c r="EB152" s="3">
        <f t="shared" si="60"/>
        <v>0</v>
      </c>
      <c r="EC152" s="3">
        <f t="shared" si="60"/>
        <v>0</v>
      </c>
      <c r="ED152" s="3">
        <f t="shared" si="60"/>
        <v>0</v>
      </c>
      <c r="EE152" s="3">
        <f t="shared" si="60"/>
        <v>0</v>
      </c>
      <c r="EF152" s="3">
        <f t="shared" si="60"/>
        <v>0</v>
      </c>
      <c r="EG152" s="3">
        <f t="shared" si="60"/>
        <v>0</v>
      </c>
      <c r="EH152" s="3">
        <f t="shared" si="60"/>
        <v>0</v>
      </c>
      <c r="EI152" s="3">
        <f t="shared" si="60"/>
        <v>0</v>
      </c>
      <c r="EJ152" s="3">
        <f t="shared" si="60"/>
        <v>0</v>
      </c>
      <c r="EK152" s="3">
        <f t="shared" si="60"/>
        <v>0</v>
      </c>
      <c r="EL152" s="3">
        <f t="shared" si="60"/>
        <v>0</v>
      </c>
      <c r="EM152" s="267">
        <f t="shared" si="42"/>
        <v>0</v>
      </c>
      <c r="EN152" s="267">
        <f t="shared" si="30"/>
        <v>23</v>
      </c>
      <c r="EO152" s="3">
        <f t="shared" si="31"/>
        <v>0</v>
      </c>
    </row>
    <row r="153" spans="1:145" s="3" customFormat="1" ht="15">
      <c r="A153" s="3">
        <f t="shared" si="32"/>
        <v>0</v>
      </c>
      <c r="B153" s="689">
        <v>24</v>
      </c>
      <c r="C153" s="689"/>
      <c r="D153" s="726">
        <f t="shared" si="8"/>
        <v>0</v>
      </c>
      <c r="E153" s="726"/>
      <c r="F153" s="726"/>
      <c r="G153" s="726"/>
      <c r="H153" s="726"/>
      <c r="I153" s="726"/>
      <c r="J153" s="726"/>
      <c r="K153" s="726"/>
      <c r="L153" s="726"/>
      <c r="M153" s="726">
        <f t="shared" si="9"/>
        <v>0</v>
      </c>
      <c r="N153" s="726"/>
      <c r="O153" s="726"/>
      <c r="P153" s="726"/>
      <c r="Q153" s="726"/>
      <c r="R153" s="726"/>
      <c r="S153" s="726"/>
      <c r="T153" s="726"/>
      <c r="U153" s="726"/>
      <c r="V153" s="726"/>
      <c r="W153" s="723">
        <f t="shared" si="33"/>
        <v>0</v>
      </c>
      <c r="X153" s="723"/>
      <c r="Y153" s="723"/>
      <c r="Z153" s="723"/>
      <c r="AA153" s="723"/>
      <c r="AB153" s="723"/>
      <c r="AC153" s="723"/>
      <c r="AD153" s="723"/>
      <c r="AE153" s="723"/>
      <c r="AF153" s="723"/>
      <c r="AG153" s="723"/>
      <c r="AH153" s="723">
        <f t="shared" si="1"/>
        <v>0</v>
      </c>
      <c r="AI153" s="723"/>
      <c r="AJ153" s="723"/>
      <c r="AK153" s="723"/>
      <c r="AL153" s="723"/>
      <c r="AM153" s="723"/>
      <c r="AN153" s="723"/>
      <c r="AO153" s="723"/>
      <c r="AP153" s="723"/>
      <c r="AQ153" s="723"/>
      <c r="AR153" s="723">
        <v>0</v>
      </c>
      <c r="AS153" s="723"/>
      <c r="AT153" s="723"/>
      <c r="AU153" s="723"/>
      <c r="AV153" s="723"/>
      <c r="AW153" s="723"/>
      <c r="AX153" s="723"/>
      <c r="AY153" s="723"/>
      <c r="AZ153" s="723"/>
      <c r="BA153" s="723">
        <f t="shared" si="10"/>
        <v>0</v>
      </c>
      <c r="BB153" s="723"/>
      <c r="BC153" s="723"/>
      <c r="BD153" s="723"/>
      <c r="BE153" s="723"/>
      <c r="BF153" s="723"/>
      <c r="BG153" s="723"/>
      <c r="BH153" s="723"/>
      <c r="BI153" s="723"/>
      <c r="BJ153" s="723">
        <f t="shared" si="2"/>
        <v>0</v>
      </c>
      <c r="BK153" s="723"/>
      <c r="BL153" s="723"/>
      <c r="BM153" s="723"/>
      <c r="BN153" s="723"/>
      <c r="BO153" s="723"/>
      <c r="BP153" s="723"/>
      <c r="BQ153" s="723"/>
      <c r="BR153" s="723">
        <f t="shared" si="35"/>
        <v>0</v>
      </c>
      <c r="BS153" s="723"/>
      <c r="BT153" s="723"/>
      <c r="BU153" s="723"/>
      <c r="BV153" s="723"/>
      <c r="BW153" s="723"/>
      <c r="BX153" s="723"/>
      <c r="BY153" s="723"/>
      <c r="BZ153" s="723"/>
      <c r="CA153" s="723"/>
      <c r="CB153" s="8"/>
      <c r="CC153" s="285">
        <f t="shared" si="3"/>
        <v>0</v>
      </c>
      <c r="CD153" s="285">
        <f t="shared" si="11"/>
        <v>15617.459203562756</v>
      </c>
      <c r="CF153" s="285">
        <f t="shared" si="12"/>
        <v>6111.599458516892</v>
      </c>
      <c r="CG153" s="285">
        <f t="shared" si="13"/>
        <v>2394.777632788869</v>
      </c>
      <c r="CH153" s="285">
        <f t="shared" si="36"/>
        <v>8506.377091305761</v>
      </c>
      <c r="CI153" s="285">
        <f t="shared" si="37"/>
        <v>1744.5958589961938</v>
      </c>
      <c r="CJ153" s="285"/>
      <c r="CK153" s="285">
        <f t="shared" si="54"/>
        <v>394.717302225321</v>
      </c>
      <c r="CL153" s="285"/>
      <c r="CM153" s="286">
        <f t="shared" si="15"/>
        <v>834.2333260875557</v>
      </c>
      <c r="CN153" s="311">
        <f t="shared" si="16"/>
        <v>724.4202339186329</v>
      </c>
      <c r="CP153" s="285">
        <f t="shared" si="17"/>
        <v>1558.6535600061886</v>
      </c>
      <c r="CQ153" s="285">
        <f>CI153</f>
        <v>1744.5958589961938</v>
      </c>
      <c r="CR153" s="285"/>
      <c r="CS153" s="285">
        <f t="shared" si="18"/>
        <v>0.974</v>
      </c>
      <c r="CT153" s="286">
        <f t="shared" si="19"/>
        <v>1699.2363666622928</v>
      </c>
      <c r="CU153" s="311"/>
      <c r="CV153" s="312">
        <f t="shared" si="20"/>
        <v>1518.1285674460278</v>
      </c>
      <c r="CW153" s="311">
        <f t="shared" si="21"/>
        <v>3217.3649341083205</v>
      </c>
      <c r="CY153" s="285">
        <f t="shared" si="22"/>
        <v>0</v>
      </c>
      <c r="CZ153" s="285">
        <f t="shared" si="4"/>
        <v>0</v>
      </c>
      <c r="DA153" s="285">
        <f t="shared" si="23"/>
        <v>0</v>
      </c>
      <c r="DB153" s="3">
        <f t="shared" si="5"/>
        <v>0</v>
      </c>
      <c r="DC153" s="3">
        <f t="shared" si="24"/>
        <v>0</v>
      </c>
      <c r="DD153" s="3">
        <v>24</v>
      </c>
      <c r="DE153" s="285">
        <f t="shared" si="39"/>
        <v>454.25044150249994</v>
      </c>
      <c r="DF153" s="285">
        <f t="shared" si="39"/>
        <v>567.9903519010501</v>
      </c>
      <c r="DH153" s="286">
        <f t="shared" si="6"/>
        <v>442.43993002343495</v>
      </c>
      <c r="DI153" s="286">
        <f t="shared" si="25"/>
        <v>553.2226027516227</v>
      </c>
      <c r="DK153" s="286">
        <f t="shared" si="26"/>
        <v>995.6625327750577</v>
      </c>
      <c r="DN153" s="3">
        <f t="shared" si="27"/>
        <v>0</v>
      </c>
      <c r="DO153" s="3">
        <f t="shared" si="61"/>
        <v>0</v>
      </c>
      <c r="DP153" s="3">
        <f t="shared" si="61"/>
        <v>0</v>
      </c>
      <c r="DQ153" s="3">
        <f t="shared" si="61"/>
        <v>0</v>
      </c>
      <c r="DR153" s="3">
        <f t="shared" si="61"/>
        <v>0</v>
      </c>
      <c r="DS153" s="3">
        <f t="shared" si="61"/>
        <v>0</v>
      </c>
      <c r="DT153" s="3">
        <f t="shared" si="61"/>
        <v>0</v>
      </c>
      <c r="DU153" s="3">
        <f t="shared" si="61"/>
        <v>0</v>
      </c>
      <c r="DV153" s="3">
        <f t="shared" si="61"/>
        <v>0</v>
      </c>
      <c r="DW153" s="3">
        <f t="shared" si="61"/>
        <v>0</v>
      </c>
      <c r="DX153" s="3">
        <f t="shared" si="61"/>
        <v>0</v>
      </c>
      <c r="DY153" s="3">
        <f t="shared" si="61"/>
        <v>0</v>
      </c>
      <c r="DZ153" s="3">
        <f t="shared" si="61"/>
        <v>0</v>
      </c>
      <c r="EA153" s="3">
        <f t="shared" si="61"/>
        <v>0</v>
      </c>
      <c r="EB153" s="3">
        <f t="shared" si="60"/>
        <v>0</v>
      </c>
      <c r="EC153" s="3">
        <f t="shared" si="60"/>
        <v>0</v>
      </c>
      <c r="ED153" s="3">
        <f t="shared" si="60"/>
        <v>0</v>
      </c>
      <c r="EE153" s="3">
        <f t="shared" si="60"/>
        <v>0</v>
      </c>
      <c r="EF153" s="3">
        <f t="shared" si="60"/>
        <v>0</v>
      </c>
      <c r="EG153" s="3">
        <f t="shared" si="60"/>
        <v>0</v>
      </c>
      <c r="EH153" s="3">
        <f t="shared" si="60"/>
        <v>0</v>
      </c>
      <c r="EI153" s="3">
        <f t="shared" si="60"/>
        <v>0</v>
      </c>
      <c r="EJ153" s="3">
        <f t="shared" si="60"/>
        <v>0</v>
      </c>
      <c r="EK153" s="3">
        <f t="shared" si="60"/>
        <v>0</v>
      </c>
      <c r="EL153" s="3">
        <f t="shared" si="60"/>
        <v>0</v>
      </c>
      <c r="EM153" s="267">
        <f t="shared" si="42"/>
        <v>0</v>
      </c>
      <c r="EN153" s="267">
        <f t="shared" si="30"/>
        <v>24</v>
      </c>
      <c r="EO153" s="3">
        <f t="shared" si="31"/>
        <v>0</v>
      </c>
    </row>
    <row r="154" spans="1:145" s="3" customFormat="1" ht="15">
      <c r="A154" s="3">
        <f>IF(D154=0,0,1)</f>
        <v>0</v>
      </c>
      <c r="B154" s="689">
        <v>25</v>
      </c>
      <c r="C154" s="689"/>
      <c r="D154" s="726">
        <f t="shared" si="8"/>
        <v>0</v>
      </c>
      <c r="E154" s="726"/>
      <c r="F154" s="726"/>
      <c r="G154" s="726"/>
      <c r="H154" s="726"/>
      <c r="I154" s="726"/>
      <c r="J154" s="726"/>
      <c r="K154" s="726"/>
      <c r="L154" s="726"/>
      <c r="M154" s="726">
        <f t="shared" si="9"/>
        <v>0</v>
      </c>
      <c r="N154" s="726"/>
      <c r="O154" s="726"/>
      <c r="P154" s="726"/>
      <c r="Q154" s="726"/>
      <c r="R154" s="726"/>
      <c r="S154" s="726"/>
      <c r="T154" s="726"/>
      <c r="U154" s="726"/>
      <c r="V154" s="726"/>
      <c r="W154" s="723">
        <f t="shared" si="33"/>
        <v>0</v>
      </c>
      <c r="X154" s="723"/>
      <c r="Y154" s="723"/>
      <c r="Z154" s="723"/>
      <c r="AA154" s="723"/>
      <c r="AB154" s="723"/>
      <c r="AC154" s="723"/>
      <c r="AD154" s="723"/>
      <c r="AE154" s="723"/>
      <c r="AF154" s="723"/>
      <c r="AG154" s="723"/>
      <c r="AH154" s="723">
        <f t="shared" si="1"/>
        <v>0</v>
      </c>
      <c r="AI154" s="723"/>
      <c r="AJ154" s="723"/>
      <c r="AK154" s="723"/>
      <c r="AL154" s="723"/>
      <c r="AM154" s="723"/>
      <c r="AN154" s="723"/>
      <c r="AO154" s="723"/>
      <c r="AP154" s="723"/>
      <c r="AQ154" s="723"/>
      <c r="AR154" s="723">
        <v>0</v>
      </c>
      <c r="AS154" s="723"/>
      <c r="AT154" s="723"/>
      <c r="AU154" s="723"/>
      <c r="AV154" s="723"/>
      <c r="AW154" s="723"/>
      <c r="AX154" s="723"/>
      <c r="AY154" s="723"/>
      <c r="AZ154" s="723"/>
      <c r="BA154" s="723">
        <f t="shared" si="10"/>
        <v>0</v>
      </c>
      <c r="BB154" s="723"/>
      <c r="BC154" s="723"/>
      <c r="BD154" s="723"/>
      <c r="BE154" s="723"/>
      <c r="BF154" s="723"/>
      <c r="BG154" s="723"/>
      <c r="BH154" s="723"/>
      <c r="BI154" s="723"/>
      <c r="BJ154" s="723">
        <f t="shared" si="2"/>
        <v>0</v>
      </c>
      <c r="BK154" s="723"/>
      <c r="BL154" s="723"/>
      <c r="BM154" s="723"/>
      <c r="BN154" s="723"/>
      <c r="BO154" s="723"/>
      <c r="BP154" s="723"/>
      <c r="BQ154" s="723"/>
      <c r="BR154" s="723">
        <f t="shared" si="35"/>
        <v>0</v>
      </c>
      <c r="BS154" s="723"/>
      <c r="BT154" s="723"/>
      <c r="BU154" s="723"/>
      <c r="BV154" s="723"/>
      <c r="BW154" s="723"/>
      <c r="BX154" s="723"/>
      <c r="BY154" s="723"/>
      <c r="BZ154" s="723"/>
      <c r="CA154" s="723"/>
      <c r="CB154" s="8"/>
      <c r="CC154" s="285">
        <f t="shared" si="3"/>
        <v>0</v>
      </c>
      <c r="CD154" s="285">
        <f t="shared" si="11"/>
        <v>15617.459203562756</v>
      </c>
      <c r="CF154" s="285">
        <f t="shared" si="12"/>
        <v>6478.295426027906</v>
      </c>
      <c r="CG154" s="285">
        <f t="shared" si="13"/>
        <v>2514.516514428313</v>
      </c>
      <c r="CH154" s="285">
        <f t="shared" si="36"/>
        <v>8992.811940456219</v>
      </c>
      <c r="CI154" s="285">
        <f t="shared" si="37"/>
        <v>1831.8256519460035</v>
      </c>
      <c r="CK154" s="285">
        <f t="shared" si="54"/>
        <v>406.55882129208067</v>
      </c>
      <c r="CM154" s="286">
        <f t="shared" si="15"/>
        <v>884.2873256528092</v>
      </c>
      <c r="CN154" s="311">
        <f t="shared" si="16"/>
        <v>760.6412456145646</v>
      </c>
      <c r="CP154" s="285">
        <f t="shared" si="17"/>
        <v>1644.9285712673736</v>
      </c>
      <c r="CQ154" s="285">
        <f>CI154</f>
        <v>1831.8256519460035</v>
      </c>
      <c r="CS154" s="285">
        <f t="shared" si="18"/>
        <v>0.972</v>
      </c>
      <c r="CT154" s="286">
        <f t="shared" si="19"/>
        <v>1780.5345336915154</v>
      </c>
      <c r="CU154" s="286"/>
      <c r="CV154" s="312">
        <f t="shared" si="20"/>
        <v>1598.8705712718872</v>
      </c>
      <c r="CW154" s="311">
        <f t="shared" si="21"/>
        <v>3379.4051049634027</v>
      </c>
      <c r="CY154" s="285">
        <f t="shared" si="22"/>
        <v>0</v>
      </c>
      <c r="CZ154" s="285">
        <f t="shared" si="4"/>
        <v>0</v>
      </c>
      <c r="DA154" s="285">
        <f t="shared" si="23"/>
        <v>0</v>
      </c>
      <c r="DB154" s="3">
        <f t="shared" si="5"/>
        <v>0</v>
      </c>
      <c r="DC154" s="3">
        <f t="shared" si="24"/>
        <v>0</v>
      </c>
      <c r="DD154" s="3">
        <v>25</v>
      </c>
      <c r="DE154" s="285">
        <f t="shared" si="39"/>
        <v>454.25044150249994</v>
      </c>
      <c r="DF154" s="285">
        <f t="shared" si="39"/>
        <v>567.9903519010501</v>
      </c>
      <c r="DH154" s="286">
        <f t="shared" si="6"/>
        <v>441.5314291404299</v>
      </c>
      <c r="DI154" s="286">
        <f t="shared" si="25"/>
        <v>552.0866220478207</v>
      </c>
      <c r="DK154" s="286">
        <f t="shared" si="26"/>
        <v>993.6180511882505</v>
      </c>
      <c r="DN154" s="3">
        <f t="shared" si="27"/>
        <v>0</v>
      </c>
      <c r="DO154" s="3">
        <f t="shared" si="61"/>
        <v>0</v>
      </c>
      <c r="DP154" s="3">
        <f t="shared" si="61"/>
        <v>0</v>
      </c>
      <c r="DQ154" s="3">
        <f t="shared" si="61"/>
        <v>0</v>
      </c>
      <c r="DR154" s="3">
        <f t="shared" si="61"/>
        <v>0</v>
      </c>
      <c r="DS154" s="3">
        <f t="shared" si="61"/>
        <v>0</v>
      </c>
      <c r="DT154" s="3">
        <f t="shared" si="61"/>
        <v>0</v>
      </c>
      <c r="DU154" s="3">
        <f t="shared" si="61"/>
        <v>0</v>
      </c>
      <c r="DV154" s="3">
        <f t="shared" si="61"/>
        <v>0</v>
      </c>
      <c r="DW154" s="3">
        <f t="shared" si="61"/>
        <v>0</v>
      </c>
      <c r="DX154" s="3">
        <f t="shared" si="61"/>
        <v>0</v>
      </c>
      <c r="DY154" s="3">
        <f t="shared" si="61"/>
        <v>0</v>
      </c>
      <c r="DZ154" s="3">
        <f t="shared" si="61"/>
        <v>0</v>
      </c>
      <c r="EA154" s="3">
        <f t="shared" si="61"/>
        <v>0</v>
      </c>
      <c r="EB154" s="3">
        <f t="shared" si="60"/>
        <v>0</v>
      </c>
      <c r="EC154" s="3">
        <f t="shared" si="60"/>
        <v>0</v>
      </c>
      <c r="ED154" s="3">
        <f t="shared" si="60"/>
        <v>0</v>
      </c>
      <c r="EE154" s="3">
        <f t="shared" si="60"/>
        <v>0</v>
      </c>
      <c r="EF154" s="3">
        <f t="shared" si="60"/>
        <v>0</v>
      </c>
      <c r="EG154" s="3">
        <f t="shared" si="60"/>
        <v>0</v>
      </c>
      <c r="EH154" s="3">
        <f t="shared" si="60"/>
        <v>0</v>
      </c>
      <c r="EI154" s="3">
        <f t="shared" si="60"/>
        <v>0</v>
      </c>
      <c r="EJ154" s="3">
        <f t="shared" si="60"/>
        <v>0</v>
      </c>
      <c r="EK154" s="3">
        <f t="shared" si="60"/>
        <v>0</v>
      </c>
      <c r="EL154" s="3">
        <f t="shared" si="60"/>
        <v>0</v>
      </c>
      <c r="EM154" s="267">
        <f t="shared" si="42"/>
        <v>0</v>
      </c>
      <c r="EN154" s="267">
        <f t="shared" si="30"/>
        <v>25</v>
      </c>
      <c r="EO154" s="3">
        <f t="shared" si="31"/>
        <v>0</v>
      </c>
    </row>
    <row r="155" spans="1:145" s="3" customFormat="1" ht="15">
      <c r="A155" s="3">
        <v>1</v>
      </c>
      <c r="B155" s="728" t="s">
        <v>795</v>
      </c>
      <c r="C155" s="728"/>
      <c r="D155" s="727">
        <f>SUM(D130:D154)</f>
        <v>84637.50749218046</v>
      </c>
      <c r="E155" s="727"/>
      <c r="F155" s="727"/>
      <c r="G155" s="727"/>
      <c r="H155" s="727"/>
      <c r="I155" s="727"/>
      <c r="J155" s="727"/>
      <c r="K155" s="727"/>
      <c r="L155" s="727"/>
      <c r="M155" s="727">
        <f>SUM(M130:M154)</f>
        <v>20009.238543499672</v>
      </c>
      <c r="N155" s="727"/>
      <c r="O155" s="727"/>
      <c r="P155" s="727"/>
      <c r="Q155" s="727"/>
      <c r="R155" s="727"/>
      <c r="S155" s="727"/>
      <c r="T155" s="727"/>
      <c r="U155" s="727"/>
      <c r="V155" s="727"/>
      <c r="W155" s="725">
        <f>SUM(W130:W154)</f>
        <v>5826.6294631171695</v>
      </c>
      <c r="X155" s="725"/>
      <c r="Y155" s="725"/>
      <c r="Z155" s="725"/>
      <c r="AA155" s="725"/>
      <c r="AB155" s="725"/>
      <c r="AC155" s="725"/>
      <c r="AD155" s="725"/>
      <c r="AE155" s="725"/>
      <c r="AF155" s="725"/>
      <c r="AG155" s="725"/>
      <c r="AH155" s="725">
        <f>SUM(AH130:AH154)</f>
        <v>34533.00563384121</v>
      </c>
      <c r="AI155" s="725"/>
      <c r="AJ155" s="725"/>
      <c r="AK155" s="725"/>
      <c r="AL155" s="725"/>
      <c r="AM155" s="725"/>
      <c r="AN155" s="725"/>
      <c r="AO155" s="725"/>
      <c r="AP155" s="725"/>
      <c r="AQ155" s="725"/>
      <c r="AR155" s="725">
        <f>SUM(AR130:AR154)</f>
        <v>6920.3215763384</v>
      </c>
      <c r="AS155" s="725"/>
      <c r="AT155" s="725"/>
      <c r="AU155" s="725"/>
      <c r="AV155" s="725"/>
      <c r="AW155" s="725"/>
      <c r="AX155" s="725"/>
      <c r="AY155" s="725"/>
      <c r="AZ155" s="725"/>
      <c r="BA155" s="725">
        <f>SUM(BA130:BA154)</f>
        <v>15617.459203562756</v>
      </c>
      <c r="BB155" s="725"/>
      <c r="BC155" s="725"/>
      <c r="BD155" s="725"/>
      <c r="BE155" s="725"/>
      <c r="BF155" s="725"/>
      <c r="BG155" s="725"/>
      <c r="BH155" s="725"/>
      <c r="BI155" s="725"/>
      <c r="BJ155" s="724"/>
      <c r="BK155" s="724"/>
      <c r="BL155" s="724"/>
      <c r="BM155" s="724"/>
      <c r="BN155" s="724"/>
      <c r="BO155" s="724"/>
      <c r="BP155" s="724"/>
      <c r="BQ155" s="724"/>
      <c r="BR155" s="725">
        <f>SUM(BR130:BR154)</f>
        <v>69020.04828861768</v>
      </c>
      <c r="BS155" s="725"/>
      <c r="BT155" s="725"/>
      <c r="BU155" s="725"/>
      <c r="BV155" s="725"/>
      <c r="BW155" s="725"/>
      <c r="BX155" s="725"/>
      <c r="BY155" s="725"/>
      <c r="BZ155" s="725"/>
      <c r="CA155" s="725"/>
      <c r="CC155" s="285">
        <f>SUM(CC130:CC154)</f>
        <v>20465.26068393907</v>
      </c>
      <c r="CF155" s="285">
        <f>SUM(CF130:CF154)</f>
        <v>87783.2191931596</v>
      </c>
      <c r="CG155" s="285">
        <f>SUM(CG130:CG154)</f>
        <v>37211.42918299456</v>
      </c>
      <c r="CH155" s="285">
        <f t="shared" si="36"/>
        <v>124994.64837615416</v>
      </c>
      <c r="CM155" s="286">
        <f>SUM(CM130:CM154)</f>
        <v>11982.409419866288</v>
      </c>
      <c r="CN155" s="286">
        <f>SUM(CN130:CN154)</f>
        <v>11256.457327855847</v>
      </c>
      <c r="CP155" s="6">
        <f>SUM(CP130:CP154)</f>
        <v>23238.866747722135</v>
      </c>
      <c r="CQ155" s="6">
        <f>SUM(CQ130:CQ154)</f>
        <v>27108.53165284505</v>
      </c>
      <c r="CT155" s="286">
        <f>SUM(CT130:CT154)</f>
        <v>26865.843680778133</v>
      </c>
      <c r="CU155" s="286"/>
      <c r="CV155" s="312">
        <f>SUM(CV130:CV154)</f>
        <v>23019.999977726522</v>
      </c>
      <c r="CW155" s="311">
        <f>SUM(CW130:CW154)</f>
        <v>49885.843658504666</v>
      </c>
      <c r="CY155" s="6"/>
      <c r="DE155" s="285"/>
      <c r="DF155" s="6"/>
      <c r="DK155" s="286">
        <f>SUM(DK130:DK154)</f>
        <v>25453.795755748397</v>
      </c>
      <c r="EM155" s="3">
        <f>SUBTOTAL(9,EM130:EM154)</f>
        <v>0</v>
      </c>
      <c r="EN155" s="3">
        <f>SUBTOTAL(9,EN130:EN154)</f>
        <v>115</v>
      </c>
      <c r="EO155" s="3">
        <f>SUM(EO130:EO154)</f>
        <v>986.3524428909998</v>
      </c>
    </row>
    <row r="156" spans="1:103" s="3" customFormat="1" ht="15">
      <c r="A156" s="8">
        <v>1</v>
      </c>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CC156" s="285">
        <f>AH155-CC155</f>
        <v>14067.744949902142</v>
      </c>
      <c r="CD156" s="3" t="s">
        <v>826</v>
      </c>
      <c r="CF156" s="285">
        <v>66633.45325949683</v>
      </c>
      <c r="CG156" s="285">
        <v>26336.971767953306</v>
      </c>
      <c r="CM156" s="286"/>
      <c r="CN156" s="286"/>
      <c r="CP156" s="3">
        <v>9602.020957066305</v>
      </c>
      <c r="CQ156" s="3">
        <v>30732.22</v>
      </c>
      <c r="CY156" s="6"/>
    </row>
    <row r="157" spans="1:145" s="3" customFormat="1" ht="15" customHeight="1">
      <c r="A157" s="8">
        <v>1</v>
      </c>
      <c r="B157" s="277"/>
      <c r="C157" s="287" t="s">
        <v>878</v>
      </c>
      <c r="D157" s="288"/>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c r="BB157" s="288"/>
      <c r="BC157" s="288"/>
      <c r="BD157" s="288"/>
      <c r="BE157" s="288"/>
      <c r="BF157" s="288"/>
      <c r="BG157" s="288"/>
      <c r="BH157" s="288"/>
      <c r="BI157" s="288"/>
      <c r="BJ157" s="288"/>
      <c r="BK157" s="288"/>
      <c r="BL157" s="288"/>
      <c r="BM157" s="288"/>
      <c r="BN157" s="288"/>
      <c r="BO157" s="288"/>
      <c r="BP157" s="288"/>
      <c r="BQ157" s="288"/>
      <c r="BR157" s="288"/>
      <c r="BS157" s="288"/>
      <c r="BT157" s="288"/>
      <c r="BU157" s="288"/>
      <c r="BV157" s="288"/>
      <c r="BW157" s="288"/>
      <c r="BX157" s="288"/>
      <c r="BY157" s="288"/>
      <c r="BZ157" s="288"/>
      <c r="CA157" s="288"/>
      <c r="CC157" s="285"/>
      <c r="CF157" s="285"/>
      <c r="CG157" s="285"/>
      <c r="CP157" s="6"/>
      <c r="CY157" s="6"/>
      <c r="EO157" s="3">
        <f>IF(EO155&lt;BJ130,BJ130,EO155)</f>
        <v>986.3524428909998</v>
      </c>
    </row>
    <row r="158" spans="1:106" s="3" customFormat="1" ht="15" customHeight="1">
      <c r="A158" s="8">
        <v>1</v>
      </c>
      <c r="B158" s="277"/>
      <c r="C158" s="656" t="e">
        <f>IF(CG165=100,CD158,CJ164)</f>
        <v>#DIV/0!</v>
      </c>
      <c r="D158" s="657"/>
      <c r="E158" s="657"/>
      <c r="F158" s="657"/>
      <c r="G158" s="657"/>
      <c r="H158" s="657"/>
      <c r="I158" s="657"/>
      <c r="J158" s="657"/>
      <c r="K158" s="657"/>
      <c r="L158" s="657"/>
      <c r="M158" s="657"/>
      <c r="N158" s="657"/>
      <c r="O158" s="657"/>
      <c r="P158" s="657"/>
      <c r="Q158" s="657"/>
      <c r="R158" s="657"/>
      <c r="S158" s="657"/>
      <c r="T158" s="657"/>
      <c r="U158" s="657"/>
      <c r="V158" s="657"/>
      <c r="W158" s="657"/>
      <c r="X158" s="657"/>
      <c r="Y158" s="657"/>
      <c r="Z158" s="657"/>
      <c r="AA158" s="657"/>
      <c r="AB158" s="657"/>
      <c r="AC158" s="657"/>
      <c r="AD158" s="657"/>
      <c r="AE158" s="657"/>
      <c r="AF158" s="657"/>
      <c r="AG158" s="657"/>
      <c r="AH158" s="657"/>
      <c r="AI158" s="657"/>
      <c r="AJ158" s="657"/>
      <c r="AK158" s="657"/>
      <c r="AL158" s="657"/>
      <c r="AM158" s="657"/>
      <c r="AN158" s="657"/>
      <c r="AO158" s="657"/>
      <c r="AP158" s="657"/>
      <c r="AQ158" s="657"/>
      <c r="AR158" s="657"/>
      <c r="AS158" s="657"/>
      <c r="AT158" s="657"/>
      <c r="AU158" s="657"/>
      <c r="AV158" s="657"/>
      <c r="AW158" s="657"/>
      <c r="AX158" s="657"/>
      <c r="AY158" s="657"/>
      <c r="AZ158" s="657"/>
      <c r="BA158" s="657"/>
      <c r="BB158" s="657"/>
      <c r="BC158" s="657"/>
      <c r="BD158" s="657"/>
      <c r="BE158" s="657"/>
      <c r="BF158" s="657"/>
      <c r="BG158" s="657"/>
      <c r="BH158" s="657"/>
      <c r="BI158" s="657"/>
      <c r="BJ158" s="657"/>
      <c r="BK158" s="657"/>
      <c r="BL158" s="657"/>
      <c r="BM158" s="657"/>
      <c r="BN158" s="657"/>
      <c r="BO158" s="657"/>
      <c r="BP158" s="657"/>
      <c r="BQ158" s="657"/>
      <c r="BR158" s="657"/>
      <c r="BS158" s="657"/>
      <c r="BT158" s="657"/>
      <c r="BU158" s="657"/>
      <c r="BV158" s="657"/>
      <c r="BW158" s="657"/>
      <c r="BX158" s="657"/>
      <c r="BY158" s="657"/>
      <c r="BZ158" s="657"/>
      <c r="CA158" s="657"/>
      <c r="CC158" s="178"/>
      <c r="CD158" s="656" t="e">
        <f>"Nell'ipotesi considerata in questo check-up energetico, la spesa da sostenere è di "&amp;CD164&amp;"."&amp;CE164&amp;" euro, tramite finanziamento al "&amp;CG165&amp;"% della spesa, IVA inclusa, con un tasso di interesse del "&amp;CH165&amp;"% per una durata di "&amp;CF119&amp;" anni. 
Come evidenziato nella colonna 'GUADAGNO Cumulato' della soprastante tabella, la massima disponibilità di liquidità necessaria per sostenere l'investimento, rispetto alla situazione precedente di spesa, è, in "&amp;EN155&amp;" anni, di "&amp;CK165&amp;""&amp;CK164&amp;""&amp;CL165&amp;" euro. Questo importo è il vero investimento che si deve effettuare, su questo importo il rendimento finanziario annuo è del "&amp;CN164&amp;"%, mentre se l'investimento fosse effettuato con fondi propri il rendimento finanziario annuo sarebbe al "&amp;CM164&amp;"%."</f>
        <v>#DIV/0!</v>
      </c>
      <c r="CE158" s="656"/>
      <c r="CF158" s="656"/>
      <c r="CG158" s="656"/>
      <c r="CH158" s="656"/>
      <c r="CI158" s="656"/>
      <c r="CJ158" s="656"/>
      <c r="CK158" s="656"/>
      <c r="CL158" s="656"/>
      <c r="CM158" s="656"/>
      <c r="CN158" s="656"/>
      <c r="CO158" s="656"/>
      <c r="CP158" s="656"/>
      <c r="CQ158" s="656"/>
      <c r="CR158" s="656"/>
      <c r="CS158" s="656"/>
      <c r="DB158" s="6"/>
    </row>
    <row r="159" spans="1:106" s="3" customFormat="1" ht="15">
      <c r="A159" s="8">
        <v>1</v>
      </c>
      <c r="B159" s="277"/>
      <c r="C159" s="657"/>
      <c r="D159" s="657"/>
      <c r="E159" s="657"/>
      <c r="F159" s="657"/>
      <c r="G159" s="657"/>
      <c r="H159" s="657"/>
      <c r="I159" s="657"/>
      <c r="J159" s="657"/>
      <c r="K159" s="657"/>
      <c r="L159" s="657"/>
      <c r="M159" s="657"/>
      <c r="N159" s="657"/>
      <c r="O159" s="657"/>
      <c r="P159" s="657"/>
      <c r="Q159" s="657"/>
      <c r="R159" s="657"/>
      <c r="S159" s="657"/>
      <c r="T159" s="657"/>
      <c r="U159" s="657"/>
      <c r="V159" s="657"/>
      <c r="W159" s="657"/>
      <c r="X159" s="657"/>
      <c r="Y159" s="657"/>
      <c r="Z159" s="657"/>
      <c r="AA159" s="657"/>
      <c r="AB159" s="657"/>
      <c r="AC159" s="657"/>
      <c r="AD159" s="657"/>
      <c r="AE159" s="657"/>
      <c r="AF159" s="657"/>
      <c r="AG159" s="657"/>
      <c r="AH159" s="657"/>
      <c r="AI159" s="657"/>
      <c r="AJ159" s="657"/>
      <c r="AK159" s="657"/>
      <c r="AL159" s="657"/>
      <c r="AM159" s="657"/>
      <c r="AN159" s="657"/>
      <c r="AO159" s="657"/>
      <c r="AP159" s="657"/>
      <c r="AQ159" s="657"/>
      <c r="AR159" s="657"/>
      <c r="AS159" s="657"/>
      <c r="AT159" s="657"/>
      <c r="AU159" s="657"/>
      <c r="AV159" s="657"/>
      <c r="AW159" s="657"/>
      <c r="AX159" s="657"/>
      <c r="AY159" s="657"/>
      <c r="AZ159" s="657"/>
      <c r="BA159" s="657"/>
      <c r="BB159" s="657"/>
      <c r="BC159" s="657"/>
      <c r="BD159" s="657"/>
      <c r="BE159" s="657"/>
      <c r="BF159" s="657"/>
      <c r="BG159" s="657"/>
      <c r="BH159" s="657"/>
      <c r="BI159" s="657"/>
      <c r="BJ159" s="657"/>
      <c r="BK159" s="657"/>
      <c r="BL159" s="657"/>
      <c r="BM159" s="657"/>
      <c r="BN159" s="657"/>
      <c r="BO159" s="657"/>
      <c r="BP159" s="657"/>
      <c r="BQ159" s="657"/>
      <c r="BR159" s="657"/>
      <c r="BS159" s="657"/>
      <c r="BT159" s="657"/>
      <c r="BU159" s="657"/>
      <c r="BV159" s="657"/>
      <c r="BW159" s="657"/>
      <c r="BX159" s="657"/>
      <c r="BY159" s="657"/>
      <c r="BZ159" s="657"/>
      <c r="CA159" s="657"/>
      <c r="CD159" s="656"/>
      <c r="CE159" s="656"/>
      <c r="CF159" s="656"/>
      <c r="CG159" s="656"/>
      <c r="CH159" s="656"/>
      <c r="CI159" s="656"/>
      <c r="CJ159" s="656"/>
      <c r="CK159" s="656"/>
      <c r="CL159" s="656"/>
      <c r="CM159" s="656"/>
      <c r="CN159" s="656"/>
      <c r="CO159" s="656"/>
      <c r="CP159" s="656"/>
      <c r="CQ159" s="656"/>
      <c r="CR159" s="656"/>
      <c r="CS159" s="656"/>
      <c r="DB159" s="6"/>
    </row>
    <row r="160" spans="1:106" s="3" customFormat="1" ht="15">
      <c r="A160" s="8">
        <v>1</v>
      </c>
      <c r="B160" s="277"/>
      <c r="C160" s="657"/>
      <c r="D160" s="657"/>
      <c r="E160" s="657"/>
      <c r="F160" s="657"/>
      <c r="G160" s="657"/>
      <c r="H160" s="657"/>
      <c r="I160" s="657"/>
      <c r="J160" s="657"/>
      <c r="K160" s="657"/>
      <c r="L160" s="657"/>
      <c r="M160" s="657"/>
      <c r="N160" s="657"/>
      <c r="O160" s="657"/>
      <c r="P160" s="657"/>
      <c r="Q160" s="657"/>
      <c r="R160" s="657"/>
      <c r="S160" s="657"/>
      <c r="T160" s="657"/>
      <c r="U160" s="657"/>
      <c r="V160" s="657"/>
      <c r="W160" s="657"/>
      <c r="X160" s="657"/>
      <c r="Y160" s="657"/>
      <c r="Z160" s="657"/>
      <c r="AA160" s="657"/>
      <c r="AB160" s="657"/>
      <c r="AC160" s="657"/>
      <c r="AD160" s="657"/>
      <c r="AE160" s="657"/>
      <c r="AF160" s="657"/>
      <c r="AG160" s="657"/>
      <c r="AH160" s="657"/>
      <c r="AI160" s="657"/>
      <c r="AJ160" s="657"/>
      <c r="AK160" s="657"/>
      <c r="AL160" s="657"/>
      <c r="AM160" s="657"/>
      <c r="AN160" s="657"/>
      <c r="AO160" s="657"/>
      <c r="AP160" s="657"/>
      <c r="AQ160" s="657"/>
      <c r="AR160" s="657"/>
      <c r="AS160" s="657"/>
      <c r="AT160" s="657"/>
      <c r="AU160" s="657"/>
      <c r="AV160" s="657"/>
      <c r="AW160" s="657"/>
      <c r="AX160" s="657"/>
      <c r="AY160" s="657"/>
      <c r="AZ160" s="657"/>
      <c r="BA160" s="657"/>
      <c r="BB160" s="657"/>
      <c r="BC160" s="657"/>
      <c r="BD160" s="657"/>
      <c r="BE160" s="657"/>
      <c r="BF160" s="657"/>
      <c r="BG160" s="657"/>
      <c r="BH160" s="657"/>
      <c r="BI160" s="657"/>
      <c r="BJ160" s="657"/>
      <c r="BK160" s="657"/>
      <c r="BL160" s="657"/>
      <c r="BM160" s="657"/>
      <c r="BN160" s="657"/>
      <c r="BO160" s="657"/>
      <c r="BP160" s="657"/>
      <c r="BQ160" s="657"/>
      <c r="BR160" s="657"/>
      <c r="BS160" s="657"/>
      <c r="BT160" s="657"/>
      <c r="BU160" s="657"/>
      <c r="BV160" s="657"/>
      <c r="BW160" s="657"/>
      <c r="BX160" s="657"/>
      <c r="BY160" s="657"/>
      <c r="BZ160" s="657"/>
      <c r="CA160" s="657"/>
      <c r="CD160" s="656"/>
      <c r="CE160" s="656"/>
      <c r="CF160" s="656"/>
      <c r="CG160" s="656"/>
      <c r="CH160" s="656"/>
      <c r="CI160" s="656"/>
      <c r="CJ160" s="656"/>
      <c r="CK160" s="656"/>
      <c r="CL160" s="656"/>
      <c r="CM160" s="656"/>
      <c r="CN160" s="656"/>
      <c r="CO160" s="656"/>
      <c r="CP160" s="656"/>
      <c r="CQ160" s="656"/>
      <c r="CR160" s="656"/>
      <c r="CS160" s="656"/>
      <c r="DB160" s="6"/>
    </row>
    <row r="161" spans="1:97" s="3" customFormat="1" ht="15">
      <c r="A161" s="8">
        <v>1</v>
      </c>
      <c r="C161" s="657"/>
      <c r="D161" s="657"/>
      <c r="E161" s="657"/>
      <c r="F161" s="657"/>
      <c r="G161" s="657"/>
      <c r="H161" s="657"/>
      <c r="I161" s="657"/>
      <c r="J161" s="657"/>
      <c r="K161" s="657"/>
      <c r="L161" s="657"/>
      <c r="M161" s="657"/>
      <c r="N161" s="657"/>
      <c r="O161" s="657"/>
      <c r="P161" s="657"/>
      <c r="Q161" s="657"/>
      <c r="R161" s="657"/>
      <c r="S161" s="657"/>
      <c r="T161" s="657"/>
      <c r="U161" s="657"/>
      <c r="V161" s="657"/>
      <c r="W161" s="657"/>
      <c r="X161" s="657"/>
      <c r="Y161" s="657"/>
      <c r="Z161" s="657"/>
      <c r="AA161" s="657"/>
      <c r="AB161" s="657"/>
      <c r="AC161" s="657"/>
      <c r="AD161" s="657"/>
      <c r="AE161" s="657"/>
      <c r="AF161" s="657"/>
      <c r="AG161" s="657"/>
      <c r="AH161" s="657"/>
      <c r="AI161" s="657"/>
      <c r="AJ161" s="657"/>
      <c r="AK161" s="657"/>
      <c r="AL161" s="657"/>
      <c r="AM161" s="657"/>
      <c r="AN161" s="657"/>
      <c r="AO161" s="657"/>
      <c r="AP161" s="657"/>
      <c r="AQ161" s="657"/>
      <c r="AR161" s="657"/>
      <c r="AS161" s="657"/>
      <c r="AT161" s="657"/>
      <c r="AU161" s="657"/>
      <c r="AV161" s="657"/>
      <c r="AW161" s="657"/>
      <c r="AX161" s="657"/>
      <c r="AY161" s="657"/>
      <c r="AZ161" s="657"/>
      <c r="BA161" s="657"/>
      <c r="BB161" s="657"/>
      <c r="BC161" s="657"/>
      <c r="BD161" s="657"/>
      <c r="BE161" s="657"/>
      <c r="BF161" s="657"/>
      <c r="BG161" s="657"/>
      <c r="BH161" s="657"/>
      <c r="BI161" s="657"/>
      <c r="BJ161" s="657"/>
      <c r="BK161" s="657"/>
      <c r="BL161" s="657"/>
      <c r="BM161" s="657"/>
      <c r="BN161" s="657"/>
      <c r="BO161" s="657"/>
      <c r="BP161" s="657"/>
      <c r="BQ161" s="657"/>
      <c r="BR161" s="657"/>
      <c r="BS161" s="657"/>
      <c r="BT161" s="657"/>
      <c r="BU161" s="657"/>
      <c r="BV161" s="657"/>
      <c r="BW161" s="657"/>
      <c r="BX161" s="657"/>
      <c r="BY161" s="657"/>
      <c r="BZ161" s="657"/>
      <c r="CA161" s="657"/>
      <c r="CD161" s="656"/>
      <c r="CE161" s="656"/>
      <c r="CF161" s="656"/>
      <c r="CG161" s="656"/>
      <c r="CH161" s="656"/>
      <c r="CI161" s="656"/>
      <c r="CJ161" s="656"/>
      <c r="CK161" s="656"/>
      <c r="CL161" s="656"/>
      <c r="CM161" s="656"/>
      <c r="CN161" s="656"/>
      <c r="CO161" s="656"/>
      <c r="CP161" s="656"/>
      <c r="CQ161" s="656"/>
      <c r="CR161" s="656"/>
      <c r="CS161" s="656"/>
    </row>
    <row r="162" spans="1:97" s="3" customFormat="1" ht="15">
      <c r="A162" s="8">
        <v>1</v>
      </c>
      <c r="B162" s="277"/>
      <c r="C162" s="657"/>
      <c r="D162" s="657"/>
      <c r="E162" s="657"/>
      <c r="F162" s="657"/>
      <c r="G162" s="657"/>
      <c r="H162" s="657"/>
      <c r="I162" s="657"/>
      <c r="J162" s="657"/>
      <c r="K162" s="657"/>
      <c r="L162" s="657"/>
      <c r="M162" s="657"/>
      <c r="N162" s="657"/>
      <c r="O162" s="657"/>
      <c r="P162" s="657"/>
      <c r="Q162" s="657"/>
      <c r="R162" s="657"/>
      <c r="S162" s="657"/>
      <c r="T162" s="657"/>
      <c r="U162" s="657"/>
      <c r="V162" s="657"/>
      <c r="W162" s="657"/>
      <c r="X162" s="657"/>
      <c r="Y162" s="657"/>
      <c r="Z162" s="657"/>
      <c r="AA162" s="657"/>
      <c r="AB162" s="657"/>
      <c r="AC162" s="657"/>
      <c r="AD162" s="657"/>
      <c r="AE162" s="657"/>
      <c r="AF162" s="657"/>
      <c r="AG162" s="657"/>
      <c r="AH162" s="657"/>
      <c r="AI162" s="657"/>
      <c r="AJ162" s="657"/>
      <c r="AK162" s="657"/>
      <c r="AL162" s="657"/>
      <c r="AM162" s="657"/>
      <c r="AN162" s="657"/>
      <c r="AO162" s="657"/>
      <c r="AP162" s="657"/>
      <c r="AQ162" s="657"/>
      <c r="AR162" s="657"/>
      <c r="AS162" s="657"/>
      <c r="AT162" s="657"/>
      <c r="AU162" s="657"/>
      <c r="AV162" s="657"/>
      <c r="AW162" s="657"/>
      <c r="AX162" s="657"/>
      <c r="AY162" s="657"/>
      <c r="AZ162" s="657"/>
      <c r="BA162" s="657"/>
      <c r="BB162" s="657"/>
      <c r="BC162" s="657"/>
      <c r="BD162" s="657"/>
      <c r="BE162" s="657"/>
      <c r="BF162" s="657"/>
      <c r="BG162" s="657"/>
      <c r="BH162" s="657"/>
      <c r="BI162" s="657"/>
      <c r="BJ162" s="657"/>
      <c r="BK162" s="657"/>
      <c r="BL162" s="657"/>
      <c r="BM162" s="657"/>
      <c r="BN162" s="657"/>
      <c r="BO162" s="657"/>
      <c r="BP162" s="657"/>
      <c r="BQ162" s="657"/>
      <c r="BR162" s="657"/>
      <c r="BS162" s="657"/>
      <c r="BT162" s="657"/>
      <c r="BU162" s="657"/>
      <c r="BV162" s="657"/>
      <c r="BW162" s="657"/>
      <c r="BX162" s="657"/>
      <c r="BY162" s="657"/>
      <c r="BZ162" s="657"/>
      <c r="CA162" s="657"/>
      <c r="CD162" s="656"/>
      <c r="CE162" s="656"/>
      <c r="CF162" s="656"/>
      <c r="CG162" s="656"/>
      <c r="CH162" s="656"/>
      <c r="CI162" s="656"/>
      <c r="CJ162" s="656"/>
      <c r="CK162" s="656"/>
      <c r="CL162" s="656"/>
      <c r="CM162" s="656"/>
      <c r="CN162" s="656"/>
      <c r="CO162" s="656"/>
      <c r="CP162" s="656"/>
      <c r="CQ162" s="656"/>
      <c r="CR162" s="656"/>
      <c r="CS162" s="656"/>
    </row>
    <row r="163" spans="1:89" s="3" customFormat="1" ht="15">
      <c r="A163" s="8">
        <v>1</v>
      </c>
      <c r="B163" s="277"/>
      <c r="C163" s="657"/>
      <c r="D163" s="657"/>
      <c r="E163" s="657"/>
      <c r="F163" s="657"/>
      <c r="G163" s="657"/>
      <c r="H163" s="657"/>
      <c r="I163" s="657"/>
      <c r="J163" s="657"/>
      <c r="K163" s="657"/>
      <c r="L163" s="657"/>
      <c r="M163" s="657"/>
      <c r="N163" s="657"/>
      <c r="O163" s="657"/>
      <c r="P163" s="657"/>
      <c r="Q163" s="657"/>
      <c r="R163" s="657"/>
      <c r="S163" s="657"/>
      <c r="T163" s="657"/>
      <c r="U163" s="657"/>
      <c r="V163" s="657"/>
      <c r="W163" s="657"/>
      <c r="X163" s="657"/>
      <c r="Y163" s="657"/>
      <c r="Z163" s="657"/>
      <c r="AA163" s="657"/>
      <c r="AB163" s="657"/>
      <c r="AC163" s="657"/>
      <c r="AD163" s="657"/>
      <c r="AE163" s="657"/>
      <c r="AF163" s="657"/>
      <c r="AG163" s="657"/>
      <c r="AH163" s="657"/>
      <c r="AI163" s="657"/>
      <c r="AJ163" s="657"/>
      <c r="AK163" s="657"/>
      <c r="AL163" s="657"/>
      <c r="AM163" s="657"/>
      <c r="AN163" s="657"/>
      <c r="AO163" s="657"/>
      <c r="AP163" s="657"/>
      <c r="AQ163" s="657"/>
      <c r="AR163" s="657"/>
      <c r="AS163" s="657"/>
      <c r="AT163" s="657"/>
      <c r="AU163" s="657"/>
      <c r="AV163" s="657"/>
      <c r="AW163" s="657"/>
      <c r="AX163" s="657"/>
      <c r="AY163" s="657"/>
      <c r="AZ163" s="657"/>
      <c r="BA163" s="657"/>
      <c r="BB163" s="657"/>
      <c r="BC163" s="657"/>
      <c r="BD163" s="657"/>
      <c r="BE163" s="657"/>
      <c r="BF163" s="657"/>
      <c r="BG163" s="657"/>
      <c r="BH163" s="657"/>
      <c r="BI163" s="657"/>
      <c r="BJ163" s="657"/>
      <c r="BK163" s="657"/>
      <c r="BL163" s="657"/>
      <c r="BM163" s="657"/>
      <c r="BN163" s="657"/>
      <c r="BO163" s="657"/>
      <c r="BP163" s="657"/>
      <c r="BQ163" s="657"/>
      <c r="BR163" s="657"/>
      <c r="BS163" s="657"/>
      <c r="BT163" s="657"/>
      <c r="BU163" s="657"/>
      <c r="BV163" s="657"/>
      <c r="BW163" s="657"/>
      <c r="BX163" s="657"/>
      <c r="BY163" s="657"/>
      <c r="BZ163" s="657"/>
      <c r="CA163" s="657"/>
      <c r="CJ163" s="178" t="s">
        <v>879</v>
      </c>
      <c r="CK163" s="178">
        <f>CJ165/1000</f>
        <v>0</v>
      </c>
    </row>
    <row r="164" spans="1:92" s="3" customFormat="1" ht="15">
      <c r="A164" s="8">
        <v>1</v>
      </c>
      <c r="B164" s="277"/>
      <c r="C164" s="657"/>
      <c r="D164" s="657"/>
      <c r="E164" s="657"/>
      <c r="F164" s="657"/>
      <c r="G164" s="657"/>
      <c r="H164" s="657"/>
      <c r="I164" s="657"/>
      <c r="J164" s="657"/>
      <c r="K164" s="657"/>
      <c r="L164" s="657"/>
      <c r="M164" s="657"/>
      <c r="N164" s="657"/>
      <c r="O164" s="657"/>
      <c r="P164" s="657"/>
      <c r="Q164" s="657"/>
      <c r="R164" s="657"/>
      <c r="S164" s="657"/>
      <c r="T164" s="657"/>
      <c r="U164" s="657"/>
      <c r="V164" s="657"/>
      <c r="W164" s="657"/>
      <c r="X164" s="657"/>
      <c r="Y164" s="657"/>
      <c r="Z164" s="657"/>
      <c r="AA164" s="657"/>
      <c r="AB164" s="657"/>
      <c r="AC164" s="657"/>
      <c r="AD164" s="657"/>
      <c r="AE164" s="657"/>
      <c r="AF164" s="657"/>
      <c r="AG164" s="657"/>
      <c r="AH164" s="657"/>
      <c r="AI164" s="657"/>
      <c r="AJ164" s="657"/>
      <c r="AK164" s="657"/>
      <c r="AL164" s="657"/>
      <c r="AM164" s="657"/>
      <c r="AN164" s="657"/>
      <c r="AO164" s="657"/>
      <c r="AP164" s="657"/>
      <c r="AQ164" s="657"/>
      <c r="AR164" s="657"/>
      <c r="AS164" s="657"/>
      <c r="AT164" s="657"/>
      <c r="AU164" s="657"/>
      <c r="AV164" s="657"/>
      <c r="AW164" s="657"/>
      <c r="AX164" s="657"/>
      <c r="AY164" s="657"/>
      <c r="AZ164" s="657"/>
      <c r="BA164" s="657"/>
      <c r="BB164" s="657"/>
      <c r="BC164" s="657"/>
      <c r="BD164" s="657"/>
      <c r="BE164" s="657"/>
      <c r="BF164" s="657"/>
      <c r="BG164" s="657"/>
      <c r="BH164" s="657"/>
      <c r="BI164" s="657"/>
      <c r="BJ164" s="657"/>
      <c r="BK164" s="657"/>
      <c r="BL164" s="657"/>
      <c r="BM164" s="657"/>
      <c r="BN164" s="657"/>
      <c r="BO164" s="657"/>
      <c r="BP164" s="657"/>
      <c r="BQ164" s="657"/>
      <c r="BR164" s="657"/>
      <c r="BS164" s="657"/>
      <c r="BT164" s="657"/>
      <c r="BU164" s="657"/>
      <c r="BV164" s="657"/>
      <c r="BW164" s="657"/>
      <c r="BX164" s="657"/>
      <c r="BY164" s="657"/>
      <c r="BZ164" s="657"/>
      <c r="CA164" s="657"/>
      <c r="CD164" s="267">
        <f>FLOOR(CD165,1)</f>
        <v>13</v>
      </c>
      <c r="CE164" s="267">
        <f>FLOOR(CE165,1)</f>
        <v>590</v>
      </c>
      <c r="CI164" s="3">
        <f>CI165/1000</f>
        <v>0</v>
      </c>
      <c r="CJ164" s="178" t="s">
        <v>201</v>
      </c>
      <c r="CK164" s="178" t="str">
        <f>IF(CK163=0,CJ164,CJ163)</f>
        <v> </v>
      </c>
      <c r="CL164" s="3">
        <f>CI165-CJ165</f>
        <v>0</v>
      </c>
      <c r="CM164" s="267">
        <f>CEILING(CM165,0.1)</f>
        <v>107.5</v>
      </c>
      <c r="CN164" s="3" t="e">
        <f>CEILING(CN165,0.1)</f>
        <v>#DIV/0!</v>
      </c>
    </row>
    <row r="165" spans="1:92" s="3" customFormat="1" ht="15">
      <c r="A165" s="8">
        <v>1</v>
      </c>
      <c r="B165" s="277"/>
      <c r="C165" s="657"/>
      <c r="D165" s="657"/>
      <c r="E165" s="657"/>
      <c r="F165" s="657"/>
      <c r="G165" s="657"/>
      <c r="H165" s="657"/>
      <c r="I165" s="657"/>
      <c r="J165" s="657"/>
      <c r="K165" s="657"/>
      <c r="L165" s="657"/>
      <c r="M165" s="657"/>
      <c r="N165" s="657"/>
      <c r="O165" s="657"/>
      <c r="P165" s="657"/>
      <c r="Q165" s="657"/>
      <c r="R165" s="657"/>
      <c r="S165" s="657"/>
      <c r="T165" s="657"/>
      <c r="U165" s="657"/>
      <c r="V165" s="657"/>
      <c r="W165" s="657"/>
      <c r="X165" s="657"/>
      <c r="Y165" s="657"/>
      <c r="Z165" s="657"/>
      <c r="AA165" s="657"/>
      <c r="AB165" s="657"/>
      <c r="AC165" s="657"/>
      <c r="AD165" s="657"/>
      <c r="AE165" s="657"/>
      <c r="AF165" s="657"/>
      <c r="AG165" s="657"/>
      <c r="AH165" s="657"/>
      <c r="AI165" s="657"/>
      <c r="AJ165" s="657"/>
      <c r="AK165" s="657"/>
      <c r="AL165" s="657"/>
      <c r="AM165" s="657"/>
      <c r="AN165" s="657"/>
      <c r="AO165" s="657"/>
      <c r="AP165" s="657"/>
      <c r="AQ165" s="657"/>
      <c r="AR165" s="657"/>
      <c r="AS165" s="657"/>
      <c r="AT165" s="657"/>
      <c r="AU165" s="657"/>
      <c r="AV165" s="657"/>
      <c r="AW165" s="657"/>
      <c r="AX165" s="657"/>
      <c r="AY165" s="657"/>
      <c r="AZ165" s="657"/>
      <c r="BA165" s="657"/>
      <c r="BB165" s="657"/>
      <c r="BC165" s="657"/>
      <c r="BD165" s="657"/>
      <c r="BE165" s="657"/>
      <c r="BF165" s="657"/>
      <c r="BG165" s="657"/>
      <c r="BH165" s="657"/>
      <c r="BI165" s="657"/>
      <c r="BJ165" s="657"/>
      <c r="BK165" s="657"/>
      <c r="BL165" s="657"/>
      <c r="BM165" s="657"/>
      <c r="BN165" s="657"/>
      <c r="BO165" s="657"/>
      <c r="BP165" s="657"/>
      <c r="BQ165" s="657"/>
      <c r="BR165" s="657"/>
      <c r="BS165" s="657"/>
      <c r="BT165" s="657"/>
      <c r="BU165" s="657"/>
      <c r="BV165" s="657"/>
      <c r="BW165" s="657"/>
      <c r="BX165" s="657"/>
      <c r="BY165" s="657"/>
      <c r="BZ165" s="657"/>
      <c r="CA165" s="657"/>
      <c r="CD165" s="313">
        <f>AM64/1000</f>
        <v>13.590743152676795</v>
      </c>
      <c r="CE165" s="313">
        <f>AM64-CF165</f>
        <v>590.743152676796</v>
      </c>
      <c r="CF165" s="3">
        <f>CD164*1000</f>
        <v>13000</v>
      </c>
      <c r="CG165" s="267">
        <f>Simulatore!E25*100</f>
        <v>100</v>
      </c>
      <c r="CH165" s="267">
        <f>Simulatore!E26*100</f>
        <v>7.000000000000001</v>
      </c>
      <c r="CI165" s="3">
        <f>-EM155</f>
        <v>0</v>
      </c>
      <c r="CJ165" s="178">
        <f>FLOOR(CI164,1)*1000</f>
        <v>0</v>
      </c>
      <c r="CK165" s="314" t="str">
        <f>IF(CK163=0,CJ164,CK163)</f>
        <v> </v>
      </c>
      <c r="CL165" s="267">
        <f>CEILING(CL164,1)</f>
        <v>0</v>
      </c>
      <c r="CM165" s="286">
        <f>A!G267*100</f>
        <v>107.45661052477932</v>
      </c>
      <c r="CN165" s="3" t="e">
        <f>A!G308*100</f>
        <v>#DIV/0!</v>
      </c>
    </row>
    <row r="166" spans="1:97" s="3" customFormat="1" ht="15">
      <c r="A166" s="8">
        <v>1</v>
      </c>
      <c r="B166" s="277"/>
      <c r="C166" s="657"/>
      <c r="D166" s="657"/>
      <c r="E166" s="657"/>
      <c r="F166" s="657"/>
      <c r="G166" s="657"/>
      <c r="H166" s="657"/>
      <c r="I166" s="657"/>
      <c r="J166" s="657"/>
      <c r="K166" s="657"/>
      <c r="L166" s="657"/>
      <c r="M166" s="657"/>
      <c r="N166" s="657"/>
      <c r="O166" s="657"/>
      <c r="P166" s="657"/>
      <c r="Q166" s="657"/>
      <c r="R166" s="657"/>
      <c r="S166" s="657"/>
      <c r="T166" s="657"/>
      <c r="U166" s="657"/>
      <c r="V166" s="657"/>
      <c r="W166" s="657"/>
      <c r="X166" s="657"/>
      <c r="Y166" s="657"/>
      <c r="Z166" s="657"/>
      <c r="AA166" s="657"/>
      <c r="AB166" s="657"/>
      <c r="AC166" s="657"/>
      <c r="AD166" s="657"/>
      <c r="AE166" s="657"/>
      <c r="AF166" s="657"/>
      <c r="AG166" s="657"/>
      <c r="AH166" s="657"/>
      <c r="AI166" s="657"/>
      <c r="AJ166" s="657"/>
      <c r="AK166" s="657"/>
      <c r="AL166" s="657"/>
      <c r="AM166" s="657"/>
      <c r="AN166" s="657"/>
      <c r="AO166" s="657"/>
      <c r="AP166" s="657"/>
      <c r="AQ166" s="657"/>
      <c r="AR166" s="657"/>
      <c r="AS166" s="657"/>
      <c r="AT166" s="657"/>
      <c r="AU166" s="657"/>
      <c r="AV166" s="657"/>
      <c r="AW166" s="657"/>
      <c r="AX166" s="657"/>
      <c r="AY166" s="657"/>
      <c r="AZ166" s="657"/>
      <c r="BA166" s="657"/>
      <c r="BB166" s="657"/>
      <c r="BC166" s="657"/>
      <c r="BD166" s="657"/>
      <c r="BE166" s="657"/>
      <c r="BF166" s="657"/>
      <c r="BG166" s="657"/>
      <c r="BH166" s="657"/>
      <c r="BI166" s="657"/>
      <c r="BJ166" s="657"/>
      <c r="BK166" s="657"/>
      <c r="BL166" s="657"/>
      <c r="BM166" s="657"/>
      <c r="BN166" s="657"/>
      <c r="BO166" s="657"/>
      <c r="BP166" s="657"/>
      <c r="BQ166" s="657"/>
      <c r="BR166" s="657"/>
      <c r="BS166" s="657"/>
      <c r="BT166" s="657"/>
      <c r="BU166" s="657"/>
      <c r="BV166" s="657"/>
      <c r="BW166" s="657"/>
      <c r="BX166" s="657"/>
      <c r="BY166" s="657"/>
      <c r="BZ166" s="657"/>
      <c r="CA166" s="657"/>
      <c r="CD166" s="657" t="str">
        <f>"Nell'ipotesi considerata in questo check-up energetico, la spesa da sostenere è di "&amp;CD164&amp;"."&amp;CE164&amp;" euro, tramite finanziamento al "&amp;CG165&amp;"% della spesa, IVA inclusa, con un tasso di interesse del "&amp;CH165&amp;"% per una durata di "&amp;CF119&amp;" anni. 
Come evidenziato nella colonna 'GUADAGNO Cumulato' della soprastante tabella, la massima disponibilità di liquidità necessaria per sostenere l'investimento, rispetto alla situazione precedente di spesa, è, in "&amp;EN155&amp;" anni, di "&amp;CK165&amp;""&amp;CK164&amp;""&amp;CL165&amp;" euro. Questo importo è il vero investimento che si deve effettuare, su questo importo il rendimento finanziario annuo è altissimo ("&amp;CM164&amp;"%), mentre se l'investimento fosse effettuato con fondi propri il rendimento finanziario annuo sarebbe al "&amp;CD164&amp;"%"</f>
        <v>Nell'ipotesi considerata in questo check-up energetico, la spesa da sostenere è di 13.590 euro, tramite finanziamento al 100% della spesa, IVA inclusa, con un tasso di interesse del 7% per una durata di 12 anni. 
Come evidenziato nella colonna ''GUADAGNO Cumulato'' della soprastante tabella, la massima disponibilità di liquidità necessaria per sostenere l'investimento, rispetto alla situazione precedente di spesa, è, in 115 anni, di   0 euro. Questo importo è il vero investimento che si deve effettuare, su questo importo il rendimento finanziario annuo è altissimo (107,5%), mentre se l'investimento fosse effettuato con fondi propri il rendimento finanziario annuo sarebbe al 13%</v>
      </c>
      <c r="CE166" s="657"/>
      <c r="CF166" s="657"/>
      <c r="CG166" s="657"/>
      <c r="CH166" s="657"/>
      <c r="CI166" s="657"/>
      <c r="CJ166" s="657"/>
      <c r="CK166" s="657"/>
      <c r="CL166" s="657"/>
      <c r="CM166" s="657"/>
      <c r="CN166" s="657"/>
      <c r="CO166" s="657"/>
      <c r="CP166" s="657"/>
      <c r="CQ166" s="657"/>
      <c r="CR166" s="657"/>
      <c r="CS166" s="657"/>
    </row>
    <row r="167" spans="1:97" s="3" customFormat="1" ht="30" customHeight="1">
      <c r="A167" s="8">
        <v>1</v>
      </c>
      <c r="B167" s="277"/>
      <c r="C167" s="657"/>
      <c r="D167" s="657"/>
      <c r="E167" s="657"/>
      <c r="F167" s="657"/>
      <c r="G167" s="657"/>
      <c r="H167" s="657"/>
      <c r="I167" s="657"/>
      <c r="J167" s="657"/>
      <c r="K167" s="657"/>
      <c r="L167" s="657"/>
      <c r="M167" s="657"/>
      <c r="N167" s="657"/>
      <c r="O167" s="657"/>
      <c r="P167" s="657"/>
      <c r="Q167" s="657"/>
      <c r="R167" s="657"/>
      <c r="S167" s="657"/>
      <c r="T167" s="657"/>
      <c r="U167" s="657"/>
      <c r="V167" s="657"/>
      <c r="W167" s="657"/>
      <c r="X167" s="657"/>
      <c r="Y167" s="657"/>
      <c r="Z167" s="657"/>
      <c r="AA167" s="657"/>
      <c r="AB167" s="657"/>
      <c r="AC167" s="657"/>
      <c r="AD167" s="657"/>
      <c r="AE167" s="657"/>
      <c r="AF167" s="657"/>
      <c r="AG167" s="657"/>
      <c r="AH167" s="657"/>
      <c r="AI167" s="657"/>
      <c r="AJ167" s="657"/>
      <c r="AK167" s="657"/>
      <c r="AL167" s="657"/>
      <c r="AM167" s="657"/>
      <c r="AN167" s="657"/>
      <c r="AO167" s="657"/>
      <c r="AP167" s="657"/>
      <c r="AQ167" s="657"/>
      <c r="AR167" s="657"/>
      <c r="AS167" s="657"/>
      <c r="AT167" s="657"/>
      <c r="AU167" s="657"/>
      <c r="AV167" s="657"/>
      <c r="AW167" s="657"/>
      <c r="AX167" s="657"/>
      <c r="AY167" s="657"/>
      <c r="AZ167" s="657"/>
      <c r="BA167" s="657"/>
      <c r="BB167" s="657"/>
      <c r="BC167" s="657"/>
      <c r="BD167" s="657"/>
      <c r="BE167" s="657"/>
      <c r="BF167" s="657"/>
      <c r="BG167" s="657"/>
      <c r="BH167" s="657"/>
      <c r="BI167" s="657"/>
      <c r="BJ167" s="657"/>
      <c r="BK167" s="657"/>
      <c r="BL167" s="657"/>
      <c r="BM167" s="657"/>
      <c r="BN167" s="657"/>
      <c r="BO167" s="657"/>
      <c r="BP167" s="657"/>
      <c r="BQ167" s="657"/>
      <c r="BR167" s="657"/>
      <c r="BS167" s="657"/>
      <c r="BT167" s="657"/>
      <c r="BU167" s="657"/>
      <c r="BV167" s="657"/>
      <c r="BW167" s="657"/>
      <c r="BX167" s="657"/>
      <c r="BY167" s="657"/>
      <c r="BZ167" s="657"/>
      <c r="CA167" s="657"/>
      <c r="CD167" s="657"/>
      <c r="CE167" s="657"/>
      <c r="CF167" s="657"/>
      <c r="CG167" s="657"/>
      <c r="CH167" s="657"/>
      <c r="CI167" s="657"/>
      <c r="CJ167" s="657"/>
      <c r="CK167" s="657"/>
      <c r="CL167" s="657"/>
      <c r="CM167" s="657"/>
      <c r="CN167" s="657"/>
      <c r="CO167" s="657"/>
      <c r="CP167" s="657"/>
      <c r="CQ167" s="657"/>
      <c r="CR167" s="657"/>
      <c r="CS167" s="657"/>
    </row>
    <row r="168" spans="1:97" s="3" customFormat="1" ht="15">
      <c r="A168" s="8">
        <v>1</v>
      </c>
      <c r="B168" s="277"/>
      <c r="C168" s="657"/>
      <c r="D168" s="657"/>
      <c r="E168" s="657"/>
      <c r="F168" s="657"/>
      <c r="G168" s="657"/>
      <c r="H168" s="657"/>
      <c r="I168" s="657"/>
      <c r="J168" s="657"/>
      <c r="K168" s="657"/>
      <c r="L168" s="657"/>
      <c r="M168" s="657"/>
      <c r="N168" s="657"/>
      <c r="O168" s="657"/>
      <c r="P168" s="657"/>
      <c r="Q168" s="657"/>
      <c r="R168" s="657"/>
      <c r="S168" s="657"/>
      <c r="T168" s="657"/>
      <c r="U168" s="657"/>
      <c r="V168" s="657"/>
      <c r="W168" s="657"/>
      <c r="X168" s="657"/>
      <c r="Y168" s="657"/>
      <c r="Z168" s="657"/>
      <c r="AA168" s="657"/>
      <c r="AB168" s="657"/>
      <c r="AC168" s="657"/>
      <c r="AD168" s="657"/>
      <c r="AE168" s="657"/>
      <c r="AF168" s="657"/>
      <c r="AG168" s="657"/>
      <c r="AH168" s="657"/>
      <c r="AI168" s="657"/>
      <c r="AJ168" s="657"/>
      <c r="AK168" s="657"/>
      <c r="AL168" s="657"/>
      <c r="AM168" s="657"/>
      <c r="AN168" s="657"/>
      <c r="AO168" s="657"/>
      <c r="AP168" s="657"/>
      <c r="AQ168" s="657"/>
      <c r="AR168" s="657"/>
      <c r="AS168" s="657"/>
      <c r="AT168" s="657"/>
      <c r="AU168" s="657"/>
      <c r="AV168" s="657"/>
      <c r="AW168" s="657"/>
      <c r="AX168" s="657"/>
      <c r="AY168" s="657"/>
      <c r="AZ168" s="657"/>
      <c r="BA168" s="657"/>
      <c r="BB168" s="657"/>
      <c r="BC168" s="657"/>
      <c r="BD168" s="657"/>
      <c r="BE168" s="657"/>
      <c r="BF168" s="657"/>
      <c r="BG168" s="657"/>
      <c r="BH168" s="657"/>
      <c r="BI168" s="657"/>
      <c r="BJ168" s="657"/>
      <c r="BK168" s="657"/>
      <c r="BL168" s="657"/>
      <c r="BM168" s="657"/>
      <c r="BN168" s="657"/>
      <c r="BO168" s="657"/>
      <c r="BP168" s="657"/>
      <c r="BQ168" s="657"/>
      <c r="BR168" s="657"/>
      <c r="BS168" s="657"/>
      <c r="BT168" s="657"/>
      <c r="BU168" s="657"/>
      <c r="BV168" s="657"/>
      <c r="BW168" s="657"/>
      <c r="BX168" s="657"/>
      <c r="BY168" s="657"/>
      <c r="BZ168" s="657"/>
      <c r="CA168" s="657"/>
      <c r="CD168" s="657"/>
      <c r="CE168" s="657"/>
      <c r="CF168" s="657"/>
      <c r="CG168" s="657"/>
      <c r="CH168" s="657"/>
      <c r="CI168" s="657"/>
      <c r="CJ168" s="657"/>
      <c r="CK168" s="657"/>
      <c r="CL168" s="657"/>
      <c r="CM168" s="657"/>
      <c r="CN168" s="657"/>
      <c r="CO168" s="657"/>
      <c r="CP168" s="657"/>
      <c r="CQ168" s="657"/>
      <c r="CR168" s="657"/>
      <c r="CS168" s="657"/>
    </row>
    <row r="169" spans="1:97" s="3" customFormat="1" ht="15">
      <c r="A169" s="8">
        <f>IF(A150=1,0,1)</f>
        <v>1</v>
      </c>
      <c r="B169" s="277"/>
      <c r="C169" s="657"/>
      <c r="D169" s="657"/>
      <c r="E169" s="657"/>
      <c r="F169" s="657"/>
      <c r="G169" s="657"/>
      <c r="H169" s="657"/>
      <c r="I169" s="657"/>
      <c r="J169" s="657"/>
      <c r="K169" s="657"/>
      <c r="L169" s="657"/>
      <c r="M169" s="657"/>
      <c r="N169" s="657"/>
      <c r="O169" s="657"/>
      <c r="P169" s="657"/>
      <c r="Q169" s="657"/>
      <c r="R169" s="657"/>
      <c r="S169" s="657"/>
      <c r="T169" s="657"/>
      <c r="U169" s="657"/>
      <c r="V169" s="657"/>
      <c r="W169" s="657"/>
      <c r="X169" s="657"/>
      <c r="Y169" s="657"/>
      <c r="Z169" s="657"/>
      <c r="AA169" s="657"/>
      <c r="AB169" s="657"/>
      <c r="AC169" s="657"/>
      <c r="AD169" s="657"/>
      <c r="AE169" s="657"/>
      <c r="AF169" s="657"/>
      <c r="AG169" s="657"/>
      <c r="AH169" s="657"/>
      <c r="AI169" s="657"/>
      <c r="AJ169" s="657"/>
      <c r="AK169" s="657"/>
      <c r="AL169" s="657"/>
      <c r="AM169" s="657"/>
      <c r="AN169" s="657"/>
      <c r="AO169" s="657"/>
      <c r="AP169" s="657"/>
      <c r="AQ169" s="657"/>
      <c r="AR169" s="657"/>
      <c r="AS169" s="657"/>
      <c r="AT169" s="657"/>
      <c r="AU169" s="657"/>
      <c r="AV169" s="657"/>
      <c r="AW169" s="657"/>
      <c r="AX169" s="657"/>
      <c r="AY169" s="657"/>
      <c r="AZ169" s="657"/>
      <c r="BA169" s="657"/>
      <c r="BB169" s="657"/>
      <c r="BC169" s="657"/>
      <c r="BD169" s="657"/>
      <c r="BE169" s="657"/>
      <c r="BF169" s="657"/>
      <c r="BG169" s="657"/>
      <c r="BH169" s="657"/>
      <c r="BI169" s="657"/>
      <c r="BJ169" s="657"/>
      <c r="BK169" s="657"/>
      <c r="BL169" s="657"/>
      <c r="BM169" s="657"/>
      <c r="BN169" s="657"/>
      <c r="BO169" s="657"/>
      <c r="BP169" s="657"/>
      <c r="BQ169" s="657"/>
      <c r="BR169" s="657"/>
      <c r="BS169" s="657"/>
      <c r="BT169" s="657"/>
      <c r="BU169" s="657"/>
      <c r="BV169" s="657"/>
      <c r="BW169" s="657"/>
      <c r="BX169" s="657"/>
      <c r="BY169" s="657"/>
      <c r="BZ169" s="657"/>
      <c r="CA169" s="657"/>
      <c r="CD169" s="657"/>
      <c r="CE169" s="657"/>
      <c r="CF169" s="657"/>
      <c r="CG169" s="657"/>
      <c r="CH169" s="657"/>
      <c r="CI169" s="657"/>
      <c r="CJ169" s="657"/>
      <c r="CK169" s="657"/>
      <c r="CL169" s="657"/>
      <c r="CM169" s="657"/>
      <c r="CN169" s="657"/>
      <c r="CO169" s="657"/>
      <c r="CP169" s="657"/>
      <c r="CQ169" s="657"/>
      <c r="CR169" s="657"/>
      <c r="CS169" s="657"/>
    </row>
    <row r="170" spans="1:79" s="3" customFormat="1" ht="15">
      <c r="A170" s="8">
        <f>IF(A151=1,0,1)</f>
        <v>1</v>
      </c>
      <c r="B170" s="277"/>
      <c r="C170" s="657"/>
      <c r="D170" s="657"/>
      <c r="E170" s="657"/>
      <c r="F170" s="657"/>
      <c r="G170" s="657"/>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657"/>
      <c r="AL170" s="657"/>
      <c r="AM170" s="657"/>
      <c r="AN170" s="657"/>
      <c r="AO170" s="657"/>
      <c r="AP170" s="657"/>
      <c r="AQ170" s="657"/>
      <c r="AR170" s="657"/>
      <c r="AS170" s="657"/>
      <c r="AT170" s="657"/>
      <c r="AU170" s="657"/>
      <c r="AV170" s="657"/>
      <c r="AW170" s="657"/>
      <c r="AX170" s="657"/>
      <c r="AY170" s="657"/>
      <c r="AZ170" s="657"/>
      <c r="BA170" s="657"/>
      <c r="BB170" s="657"/>
      <c r="BC170" s="657"/>
      <c r="BD170" s="657"/>
      <c r="BE170" s="657"/>
      <c r="BF170" s="657"/>
      <c r="BG170" s="657"/>
      <c r="BH170" s="657"/>
      <c r="BI170" s="657"/>
      <c r="BJ170" s="657"/>
      <c r="BK170" s="657"/>
      <c r="BL170" s="657"/>
      <c r="BM170" s="657"/>
      <c r="BN170" s="657"/>
      <c r="BO170" s="657"/>
      <c r="BP170" s="657"/>
      <c r="BQ170" s="657"/>
      <c r="BR170" s="657"/>
      <c r="BS170" s="657"/>
      <c r="BT170" s="657"/>
      <c r="BU170" s="657"/>
      <c r="BV170" s="657"/>
      <c r="BW170" s="657"/>
      <c r="BX170" s="657"/>
      <c r="BY170" s="657"/>
      <c r="BZ170" s="657"/>
      <c r="CA170" s="657"/>
    </row>
    <row r="171" spans="1:79" s="3" customFormat="1" ht="15">
      <c r="A171" s="8">
        <f>IF(A152=1,0,1)</f>
        <v>1</v>
      </c>
      <c r="B171" s="277"/>
      <c r="C171" s="657"/>
      <c r="D171" s="657"/>
      <c r="E171" s="657"/>
      <c r="F171" s="657"/>
      <c r="G171" s="657"/>
      <c r="H171" s="657"/>
      <c r="I171" s="657"/>
      <c r="J171" s="657"/>
      <c r="K171" s="657"/>
      <c r="L171" s="657"/>
      <c r="M171" s="657"/>
      <c r="N171" s="657"/>
      <c r="O171" s="657"/>
      <c r="P171" s="657"/>
      <c r="Q171" s="657"/>
      <c r="R171" s="657"/>
      <c r="S171" s="657"/>
      <c r="T171" s="657"/>
      <c r="U171" s="657"/>
      <c r="V171" s="657"/>
      <c r="W171" s="657"/>
      <c r="X171" s="657"/>
      <c r="Y171" s="657"/>
      <c r="Z171" s="657"/>
      <c r="AA171" s="657"/>
      <c r="AB171" s="657"/>
      <c r="AC171" s="657"/>
      <c r="AD171" s="657"/>
      <c r="AE171" s="657"/>
      <c r="AF171" s="657"/>
      <c r="AG171" s="657"/>
      <c r="AH171" s="657"/>
      <c r="AI171" s="657"/>
      <c r="AJ171" s="657"/>
      <c r="AK171" s="657"/>
      <c r="AL171" s="657"/>
      <c r="AM171" s="657"/>
      <c r="AN171" s="657"/>
      <c r="AO171" s="657"/>
      <c r="AP171" s="657"/>
      <c r="AQ171" s="657"/>
      <c r="AR171" s="657"/>
      <c r="AS171" s="657"/>
      <c r="AT171" s="657"/>
      <c r="AU171" s="657"/>
      <c r="AV171" s="657"/>
      <c r="AW171" s="657"/>
      <c r="AX171" s="657"/>
      <c r="AY171" s="657"/>
      <c r="AZ171" s="657"/>
      <c r="BA171" s="657"/>
      <c r="BB171" s="657"/>
      <c r="BC171" s="657"/>
      <c r="BD171" s="657"/>
      <c r="BE171" s="657"/>
      <c r="BF171" s="657"/>
      <c r="BG171" s="657"/>
      <c r="BH171" s="657"/>
      <c r="BI171" s="657"/>
      <c r="BJ171" s="657"/>
      <c r="BK171" s="657"/>
      <c r="BL171" s="657"/>
      <c r="BM171" s="657"/>
      <c r="BN171" s="657"/>
      <c r="BO171" s="657"/>
      <c r="BP171" s="657"/>
      <c r="BQ171" s="657"/>
      <c r="BR171" s="657"/>
      <c r="BS171" s="657"/>
      <c r="BT171" s="657"/>
      <c r="BU171" s="657"/>
      <c r="BV171" s="657"/>
      <c r="BW171" s="657"/>
      <c r="BX171" s="657"/>
      <c r="BY171" s="657"/>
      <c r="BZ171" s="657"/>
      <c r="CA171" s="657"/>
    </row>
    <row r="172" spans="1:79" s="3" customFormat="1" ht="15">
      <c r="A172" s="8">
        <f>IF(A153=1,0,1)</f>
        <v>1</v>
      </c>
      <c r="B172" s="277"/>
      <c r="C172" s="657"/>
      <c r="D172" s="657"/>
      <c r="E172" s="657"/>
      <c r="F172" s="657"/>
      <c r="G172" s="657"/>
      <c r="H172" s="657"/>
      <c r="I172" s="657"/>
      <c r="J172" s="657"/>
      <c r="K172" s="657"/>
      <c r="L172" s="657"/>
      <c r="M172" s="657"/>
      <c r="N172" s="657"/>
      <c r="O172" s="657"/>
      <c r="P172" s="657"/>
      <c r="Q172" s="657"/>
      <c r="R172" s="657"/>
      <c r="S172" s="657"/>
      <c r="T172" s="657"/>
      <c r="U172" s="657"/>
      <c r="V172" s="657"/>
      <c r="W172" s="657"/>
      <c r="X172" s="657"/>
      <c r="Y172" s="657"/>
      <c r="Z172" s="657"/>
      <c r="AA172" s="657"/>
      <c r="AB172" s="657"/>
      <c r="AC172" s="657"/>
      <c r="AD172" s="657"/>
      <c r="AE172" s="657"/>
      <c r="AF172" s="657"/>
      <c r="AG172" s="657"/>
      <c r="AH172" s="657"/>
      <c r="AI172" s="657"/>
      <c r="AJ172" s="657"/>
      <c r="AK172" s="657"/>
      <c r="AL172" s="657"/>
      <c r="AM172" s="657"/>
      <c r="AN172" s="657"/>
      <c r="AO172" s="657"/>
      <c r="AP172" s="657"/>
      <c r="AQ172" s="657"/>
      <c r="AR172" s="657"/>
      <c r="AS172" s="657"/>
      <c r="AT172" s="657"/>
      <c r="AU172" s="657"/>
      <c r="AV172" s="657"/>
      <c r="AW172" s="657"/>
      <c r="AX172" s="657"/>
      <c r="AY172" s="657"/>
      <c r="AZ172" s="657"/>
      <c r="BA172" s="657"/>
      <c r="BB172" s="657"/>
      <c r="BC172" s="657"/>
      <c r="BD172" s="657"/>
      <c r="BE172" s="657"/>
      <c r="BF172" s="657"/>
      <c r="BG172" s="657"/>
      <c r="BH172" s="657"/>
      <c r="BI172" s="657"/>
      <c r="BJ172" s="657"/>
      <c r="BK172" s="657"/>
      <c r="BL172" s="657"/>
      <c r="BM172" s="657"/>
      <c r="BN172" s="657"/>
      <c r="BO172" s="657"/>
      <c r="BP172" s="657"/>
      <c r="BQ172" s="657"/>
      <c r="BR172" s="657"/>
      <c r="BS172" s="657"/>
      <c r="BT172" s="657"/>
      <c r="BU172" s="657"/>
      <c r="BV172" s="657"/>
      <c r="BW172" s="657"/>
      <c r="BX172" s="657"/>
      <c r="BY172" s="657"/>
      <c r="BZ172" s="657"/>
      <c r="CA172" s="657"/>
    </row>
    <row r="173" spans="1:83" s="3" customFormat="1" ht="15">
      <c r="A173" s="8">
        <f>IF(A154=1,0,1)</f>
        <v>1</v>
      </c>
      <c r="B173" s="277"/>
      <c r="C173" s="657"/>
      <c r="D173" s="657"/>
      <c r="E173" s="657"/>
      <c r="F173" s="657"/>
      <c r="G173" s="657"/>
      <c r="H173" s="657"/>
      <c r="I173" s="657"/>
      <c r="J173" s="657"/>
      <c r="K173" s="657"/>
      <c r="L173" s="657"/>
      <c r="M173" s="657"/>
      <c r="N173" s="657"/>
      <c r="O173" s="657"/>
      <c r="P173" s="657"/>
      <c r="Q173" s="657"/>
      <c r="R173" s="657"/>
      <c r="S173" s="657"/>
      <c r="T173" s="657"/>
      <c r="U173" s="657"/>
      <c r="V173" s="657"/>
      <c r="W173" s="657"/>
      <c r="X173" s="657"/>
      <c r="Y173" s="657"/>
      <c r="Z173" s="657"/>
      <c r="AA173" s="657"/>
      <c r="AB173" s="657"/>
      <c r="AC173" s="657"/>
      <c r="AD173" s="657"/>
      <c r="AE173" s="657"/>
      <c r="AF173" s="657"/>
      <c r="AG173" s="657"/>
      <c r="AH173" s="657"/>
      <c r="AI173" s="657"/>
      <c r="AJ173" s="657"/>
      <c r="AK173" s="657"/>
      <c r="AL173" s="657"/>
      <c r="AM173" s="657"/>
      <c r="AN173" s="657"/>
      <c r="AO173" s="657"/>
      <c r="AP173" s="657"/>
      <c r="AQ173" s="657"/>
      <c r="AR173" s="657"/>
      <c r="AS173" s="657"/>
      <c r="AT173" s="657"/>
      <c r="AU173" s="657"/>
      <c r="AV173" s="657"/>
      <c r="AW173" s="657"/>
      <c r="AX173" s="657"/>
      <c r="AY173" s="657"/>
      <c r="AZ173" s="657"/>
      <c r="BA173" s="657"/>
      <c r="BB173" s="657"/>
      <c r="BC173" s="657"/>
      <c r="BD173" s="657"/>
      <c r="BE173" s="657"/>
      <c r="BF173" s="657"/>
      <c r="BG173" s="657"/>
      <c r="BH173" s="657"/>
      <c r="BI173" s="657"/>
      <c r="BJ173" s="657"/>
      <c r="BK173" s="657"/>
      <c r="BL173" s="657"/>
      <c r="BM173" s="657"/>
      <c r="BN173" s="657"/>
      <c r="BO173" s="657"/>
      <c r="BP173" s="657"/>
      <c r="BQ173" s="657"/>
      <c r="BR173" s="657"/>
      <c r="BS173" s="657"/>
      <c r="BT173" s="657"/>
      <c r="BU173" s="657"/>
      <c r="BV173" s="657"/>
      <c r="BW173" s="657"/>
      <c r="BX173" s="657"/>
      <c r="BY173" s="657"/>
      <c r="BZ173" s="657"/>
      <c r="CA173" s="657"/>
      <c r="CE173" s="3" t="s">
        <v>858</v>
      </c>
    </row>
    <row r="174" spans="1:79" s="3" customFormat="1" ht="30" customHeight="1">
      <c r="A174" s="8">
        <v>1</v>
      </c>
      <c r="B174" s="277"/>
      <c r="C174" s="272"/>
      <c r="D174" s="272"/>
      <c r="E174" s="272"/>
      <c r="F174" s="272"/>
      <c r="G174" s="272"/>
      <c r="H174" s="272"/>
      <c r="I174" s="272"/>
      <c r="J174" s="272"/>
      <c r="K174" s="272"/>
      <c r="L174" s="272"/>
      <c r="M174" s="272"/>
      <c r="N174" s="272"/>
      <c r="O174" s="272"/>
      <c r="P174" s="272"/>
      <c r="Q174" s="272"/>
      <c r="R174" s="272"/>
      <c r="S174" s="272"/>
      <c r="T174" s="272"/>
      <c r="U174" s="272"/>
      <c r="V174" s="272"/>
      <c r="W174" s="272"/>
      <c r="X174" s="272"/>
      <c r="Y174" s="272"/>
      <c r="Z174" s="272"/>
      <c r="AA174" s="272"/>
      <c r="AB174" s="272"/>
      <c r="AC174" s="272"/>
      <c r="AD174" s="272"/>
      <c r="AE174" s="272"/>
      <c r="AF174" s="272"/>
      <c r="AG174" s="272"/>
      <c r="AH174" s="272"/>
      <c r="AI174" s="272"/>
      <c r="AJ174" s="272"/>
      <c r="AK174" s="272"/>
      <c r="AL174" s="272"/>
      <c r="AM174" s="272"/>
      <c r="AN174" s="272"/>
      <c r="AO174" s="272"/>
      <c r="AP174" s="272"/>
      <c r="AQ174" s="272"/>
      <c r="AR174" s="272"/>
      <c r="AS174" s="272"/>
      <c r="AT174" s="272"/>
      <c r="AU174" s="272"/>
      <c r="AV174" s="272"/>
      <c r="AW174" s="272"/>
      <c r="AX174" s="272"/>
      <c r="AY174" s="272"/>
      <c r="AZ174" s="272"/>
      <c r="BA174" s="272"/>
      <c r="BB174" s="272"/>
      <c r="BC174" s="272"/>
      <c r="BD174" s="272"/>
      <c r="BE174" s="272"/>
      <c r="BF174" s="272"/>
      <c r="BG174" s="272"/>
      <c r="BH174" s="272"/>
      <c r="BI174" s="272"/>
      <c r="BJ174" s="272"/>
      <c r="BK174" s="272"/>
      <c r="BL174" s="272"/>
      <c r="BM174" s="272"/>
      <c r="BN174" s="272"/>
      <c r="BO174" s="272"/>
      <c r="BP174" s="272"/>
      <c r="BQ174" s="272"/>
      <c r="BR174" s="272"/>
      <c r="BS174" s="272"/>
      <c r="BT174" s="272"/>
      <c r="BU174" s="272"/>
      <c r="BV174" s="272"/>
      <c r="BW174" s="272"/>
      <c r="BX174" s="272"/>
      <c r="BY174" s="272"/>
      <c r="BZ174" s="272"/>
      <c r="CA174" s="272"/>
    </row>
    <row r="175" spans="1:79" s="3" customFormat="1" ht="19.5" customHeight="1">
      <c r="A175" s="3">
        <v>1</v>
      </c>
      <c r="B175" s="665" t="s">
        <v>897</v>
      </c>
      <c r="C175" s="666"/>
      <c r="D175" s="666"/>
      <c r="E175" s="666"/>
      <c r="F175" s="666"/>
      <c r="G175" s="666"/>
      <c r="H175" s="666"/>
      <c r="I175" s="666"/>
      <c r="J175" s="666"/>
      <c r="K175" s="666"/>
      <c r="L175" s="666"/>
      <c r="M175" s="666"/>
      <c r="N175" s="666"/>
      <c r="O175" s="666"/>
      <c r="P175" s="666"/>
      <c r="Q175" s="666"/>
      <c r="R175" s="666"/>
      <c r="S175" s="666"/>
      <c r="T175" s="666"/>
      <c r="U175" s="666"/>
      <c r="V175" s="666"/>
      <c r="W175" s="666"/>
      <c r="X175" s="666"/>
      <c r="Y175" s="666"/>
      <c r="Z175" s="666"/>
      <c r="AA175" s="666"/>
      <c r="AB175" s="666"/>
      <c r="AC175" s="666"/>
      <c r="AD175" s="666"/>
      <c r="AE175" s="666"/>
      <c r="AF175" s="666"/>
      <c r="AG175" s="666"/>
      <c r="AH175" s="666"/>
      <c r="AI175" s="666"/>
      <c r="AJ175" s="666"/>
      <c r="AK175" s="666"/>
      <c r="AL175" s="666"/>
      <c r="AM175" s="666"/>
      <c r="AN175" s="666"/>
      <c r="AO175" s="666"/>
      <c r="AP175" s="666"/>
      <c r="AQ175" s="666"/>
      <c r="AR175" s="666"/>
      <c r="AS175" s="666"/>
      <c r="AT175" s="666"/>
      <c r="AU175" s="666"/>
      <c r="AV175" s="666"/>
      <c r="AW175" s="666"/>
      <c r="AX175" s="666"/>
      <c r="AY175" s="666"/>
      <c r="AZ175" s="666"/>
      <c r="BA175" s="666"/>
      <c r="BB175" s="666"/>
      <c r="BC175" s="666"/>
      <c r="BD175" s="666"/>
      <c r="BE175" s="666"/>
      <c r="BF175" s="666"/>
      <c r="BG175" s="666"/>
      <c r="BH175" s="666"/>
      <c r="BI175" s="666"/>
      <c r="BJ175" s="666"/>
      <c r="BK175" s="666"/>
      <c r="BL175" s="666"/>
      <c r="BM175" s="666"/>
      <c r="BN175" s="666"/>
      <c r="BO175" s="666"/>
      <c r="BP175" s="666"/>
      <c r="BQ175" s="666"/>
      <c r="BR175" s="666"/>
      <c r="BS175" s="666"/>
      <c r="BT175" s="666"/>
      <c r="BU175" s="664"/>
      <c r="BV175" s="664"/>
      <c r="BW175" s="664"/>
      <c r="BX175" s="664"/>
      <c r="BY175" s="664"/>
      <c r="BZ175" s="664"/>
      <c r="CA175" s="664"/>
    </row>
    <row r="176" spans="1:79" s="3" customFormat="1" ht="9" customHeight="1">
      <c r="A176" s="3">
        <v>1</v>
      </c>
      <c r="B176" s="315"/>
      <c r="C176" s="305"/>
      <c r="D176" s="305"/>
      <c r="E176" s="305"/>
      <c r="F176" s="305"/>
      <c r="G176" s="305"/>
      <c r="H176" s="305"/>
      <c r="I176" s="305"/>
      <c r="J176" s="305"/>
      <c r="K176" s="305"/>
      <c r="L176" s="305"/>
      <c r="M176" s="305"/>
      <c r="N176" s="305"/>
      <c r="O176" s="305"/>
      <c r="P176" s="305"/>
      <c r="Q176" s="305"/>
      <c r="R176" s="305"/>
      <c r="S176" s="305"/>
      <c r="T176" s="305"/>
      <c r="U176" s="305"/>
      <c r="V176" s="305"/>
      <c r="W176" s="305"/>
      <c r="X176" s="305"/>
      <c r="Y176" s="305"/>
      <c r="Z176" s="305"/>
      <c r="AA176" s="305"/>
      <c r="AB176" s="305"/>
      <c r="AC176" s="305"/>
      <c r="AD176" s="305"/>
      <c r="AE176" s="305"/>
      <c r="AF176" s="305"/>
      <c r="AG176" s="305"/>
      <c r="AH176" s="305"/>
      <c r="AI176" s="305"/>
      <c r="AJ176" s="305"/>
      <c r="AK176" s="305"/>
      <c r="AL176" s="305"/>
      <c r="AM176" s="305"/>
      <c r="AN176" s="305"/>
      <c r="AO176" s="305"/>
      <c r="AP176" s="305"/>
      <c r="AQ176" s="305"/>
      <c r="AR176" s="305"/>
      <c r="AS176" s="305"/>
      <c r="AT176" s="305"/>
      <c r="AU176" s="305"/>
      <c r="AV176" s="305"/>
      <c r="AW176" s="305"/>
      <c r="AX176" s="305"/>
      <c r="AY176" s="305"/>
      <c r="AZ176" s="305"/>
      <c r="BA176" s="305"/>
      <c r="BB176" s="305"/>
      <c r="BC176" s="305"/>
      <c r="BD176" s="305"/>
      <c r="BE176" s="305"/>
      <c r="BF176" s="305"/>
      <c r="BG176" s="305"/>
      <c r="BH176" s="305"/>
      <c r="BI176" s="305"/>
      <c r="BJ176" s="305"/>
      <c r="BK176" s="305"/>
      <c r="BL176" s="305"/>
      <c r="BM176" s="305"/>
      <c r="BN176" s="305"/>
      <c r="BO176" s="305"/>
      <c r="BP176" s="305"/>
      <c r="BQ176" s="305"/>
      <c r="BR176" s="305"/>
      <c r="BS176" s="305"/>
      <c r="BT176" s="305"/>
      <c r="BU176" s="8"/>
      <c r="BV176" s="8"/>
      <c r="BW176" s="8"/>
      <c r="BX176" s="8"/>
      <c r="BY176" s="8"/>
      <c r="BZ176" s="8"/>
      <c r="CA176" s="8"/>
    </row>
    <row r="177" spans="1:85" s="3" customFormat="1" ht="9" customHeight="1">
      <c r="A177" s="8">
        <v>1</v>
      </c>
      <c r="B177" s="8"/>
      <c r="C177" s="8"/>
      <c r="D177" s="8"/>
      <c r="E177" s="8"/>
      <c r="F177" s="8"/>
      <c r="G177" s="8"/>
      <c r="H177" s="8"/>
      <c r="I177" s="8"/>
      <c r="J177" s="8"/>
      <c r="K177" s="8"/>
      <c r="L177" s="8"/>
      <c r="M177" s="8"/>
      <c r="N177" s="8"/>
      <c r="O177" s="289"/>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CC177" s="316" t="str">
        <f>""&amp;CE178&amp;" kWh/m2/anno PRIMA degli interventi"</f>
        <v>150 kWh/m2/anno PRIMA degli interventi</v>
      </c>
      <c r="CG177" s="3" t="str">
        <f>""&amp;CI178&amp;" kWh/m2/anno DOPO gli interventi      "</f>
        <v>124 kWh/m2/anno DOPO gli interventi      </v>
      </c>
    </row>
    <row r="178" spans="1:87" s="3" customFormat="1" ht="13.5" customHeight="1">
      <c r="A178" s="8">
        <v>1</v>
      </c>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CC178" s="317">
        <f>Simulatore!O23</f>
        <v>150.58869701726846</v>
      </c>
      <c r="CD178" s="318">
        <f>CC178*2</f>
        <v>301.1773940345369</v>
      </c>
      <c r="CE178" s="3">
        <f>FLOOR(CC178,1)</f>
        <v>150</v>
      </c>
      <c r="CG178" s="319">
        <f>Simulatore!R23</f>
        <v>124.03414442700159</v>
      </c>
      <c r="CH178" s="3">
        <f>CG178*2</f>
        <v>248.06828885400319</v>
      </c>
      <c r="CI178" s="3">
        <f>FLOOR(CG178,1)</f>
        <v>124</v>
      </c>
    </row>
    <row r="179" spans="1:87" s="3" customFormat="1" ht="15">
      <c r="A179" s="8">
        <v>1</v>
      </c>
      <c r="B179" s="8"/>
      <c r="C179" s="271"/>
      <c r="D179" s="320" t="s">
        <v>665</v>
      </c>
      <c r="E179" s="736">
        <v>10</v>
      </c>
      <c r="F179" s="664"/>
      <c r="G179" s="664"/>
      <c r="H179" s="664"/>
      <c r="I179" s="737" t="s">
        <v>666</v>
      </c>
      <c r="J179" s="671"/>
      <c r="K179" s="671"/>
      <c r="L179" s="671"/>
      <c r="M179" s="671"/>
      <c r="N179" s="671"/>
      <c r="O179" s="671"/>
      <c r="P179" s="671"/>
      <c r="Q179" s="671"/>
      <c r="R179" s="289"/>
      <c r="S179" s="289"/>
      <c r="T179" s="735" t="str">
        <f>IF(CE179=$CC$178,$CC$177,IF(CI179=$CG$178,$CG$177,$CE$173))</f>
        <v>                                                                                     </v>
      </c>
      <c r="U179" s="735"/>
      <c r="V179" s="735"/>
      <c r="W179" s="735"/>
      <c r="X179" s="735"/>
      <c r="Y179" s="735"/>
      <c r="Z179" s="735"/>
      <c r="AA179" s="735"/>
      <c r="AB179" s="735"/>
      <c r="AC179" s="735"/>
      <c r="AD179" s="735"/>
      <c r="AE179" s="735"/>
      <c r="AF179" s="735"/>
      <c r="AG179" s="735"/>
      <c r="AH179" s="735"/>
      <c r="AI179" s="735"/>
      <c r="AJ179" s="735"/>
      <c r="AK179" s="735"/>
      <c r="AL179" s="735"/>
      <c r="AM179" s="735"/>
      <c r="AN179" s="735"/>
      <c r="AO179" s="735"/>
      <c r="AP179" s="735"/>
      <c r="AQ179" s="735"/>
      <c r="AR179" s="735"/>
      <c r="AS179" s="735"/>
      <c r="AT179" s="735"/>
      <c r="AU179" s="735"/>
      <c r="AV179" s="735"/>
      <c r="AW179" s="735"/>
      <c r="AX179" s="735"/>
      <c r="AY179" s="735"/>
      <c r="AZ179" s="735"/>
      <c r="BA179" s="735"/>
      <c r="BB179" s="735"/>
      <c r="BC179" s="735"/>
      <c r="BD179" s="735"/>
      <c r="BE179" s="735"/>
      <c r="BF179" s="735"/>
      <c r="BG179" s="735"/>
      <c r="BH179" s="735"/>
      <c r="BN179" s="289"/>
      <c r="BO179" s="8"/>
      <c r="BP179" s="8"/>
      <c r="BQ179" s="8"/>
      <c r="BR179" s="8"/>
      <c r="BS179" s="8"/>
      <c r="BT179" s="8"/>
      <c r="CC179" s="318">
        <f>IF($CC$178&lt;=E179,$CC$178,0)</f>
        <v>0</v>
      </c>
      <c r="CD179" s="318">
        <f>IF($CC$178&gt;E177,$CC$178,0)</f>
        <v>150.58869701726846</v>
      </c>
      <c r="CE179" s="3">
        <f>IF($CD$178=(CC179+CD179),$CC$178,0)</f>
        <v>0</v>
      </c>
      <c r="CG179" s="286">
        <f>IF($CG$178&lt;=E179,$CG$178,0)</f>
        <v>0</v>
      </c>
      <c r="CH179" s="286">
        <f>IF($CG$178&gt;E177,$CG$178,0)</f>
        <v>124.03414442700159</v>
      </c>
      <c r="CI179" s="3">
        <f>IF($CH$178=(CG179+CH179),$CG$178,0)</f>
        <v>0</v>
      </c>
    </row>
    <row r="180" spans="1:83" s="3" customFormat="1" ht="3" customHeight="1">
      <c r="A180" s="8">
        <v>1</v>
      </c>
      <c r="B180" s="8"/>
      <c r="C180" s="271"/>
      <c r="D180" s="320"/>
      <c r="E180" s="290"/>
      <c r="I180" s="290"/>
      <c r="J180" s="290"/>
      <c r="K180" s="290"/>
      <c r="L180" s="290"/>
      <c r="M180" s="289"/>
      <c r="N180" s="289"/>
      <c r="O180" s="289"/>
      <c r="P180" s="289"/>
      <c r="Q180" s="289"/>
      <c r="R180" s="289"/>
      <c r="S180" s="289"/>
      <c r="T180" s="289"/>
      <c r="U180" s="289"/>
      <c r="V180" s="289"/>
      <c r="W180" s="289"/>
      <c r="X180" s="289"/>
      <c r="Y180" s="289"/>
      <c r="Z180" s="289"/>
      <c r="AA180" s="289"/>
      <c r="AB180" s="735"/>
      <c r="AC180" s="735"/>
      <c r="AD180" s="735"/>
      <c r="AE180" s="735"/>
      <c r="AF180" s="735"/>
      <c r="AG180" s="735"/>
      <c r="AH180" s="735"/>
      <c r="AI180" s="735"/>
      <c r="AJ180" s="735"/>
      <c r="AK180" s="735"/>
      <c r="AL180" s="735"/>
      <c r="AM180" s="735"/>
      <c r="AN180" s="735"/>
      <c r="AO180" s="735"/>
      <c r="AP180" s="735"/>
      <c r="AQ180" s="735"/>
      <c r="AR180" s="735"/>
      <c r="AS180" s="735"/>
      <c r="AT180" s="735"/>
      <c r="AU180" s="735"/>
      <c r="AV180" s="735"/>
      <c r="AW180" s="735"/>
      <c r="AX180" s="735"/>
      <c r="AY180" s="735"/>
      <c r="AZ180" s="735"/>
      <c r="BA180" s="735"/>
      <c r="BB180" s="735"/>
      <c r="BC180" s="735"/>
      <c r="BD180" s="735"/>
      <c r="BE180" s="735"/>
      <c r="BF180" s="735"/>
      <c r="BG180" s="735"/>
      <c r="BH180" s="735"/>
      <c r="BI180" s="735"/>
      <c r="BJ180" s="735"/>
      <c r="BK180" s="735"/>
      <c r="BL180" s="735"/>
      <c r="BM180" s="735"/>
      <c r="BN180" s="735"/>
      <c r="BO180" s="735"/>
      <c r="BP180" s="735"/>
      <c r="BQ180" s="8"/>
      <c r="BR180" s="8"/>
      <c r="BS180" s="8"/>
      <c r="BT180" s="8"/>
      <c r="CC180" s="318"/>
      <c r="CD180" s="318"/>
      <c r="CE180" s="318"/>
    </row>
    <row r="181" spans="1:87" s="3" customFormat="1" ht="15">
      <c r="A181" s="8">
        <v>1</v>
      </c>
      <c r="B181" s="8"/>
      <c r="C181" s="271"/>
      <c r="D181" s="320" t="s">
        <v>665</v>
      </c>
      <c r="E181" s="736">
        <v>30</v>
      </c>
      <c r="F181" s="664"/>
      <c r="G181" s="664"/>
      <c r="H181" s="664"/>
      <c r="I181" s="737" t="s">
        <v>667</v>
      </c>
      <c r="J181" s="660"/>
      <c r="K181" s="660"/>
      <c r="L181" s="660"/>
      <c r="M181" s="660"/>
      <c r="N181" s="660"/>
      <c r="O181" s="660"/>
      <c r="P181" s="660"/>
      <c r="Q181" s="660"/>
      <c r="R181" s="660"/>
      <c r="S181" s="660"/>
      <c r="T181" s="278"/>
      <c r="U181" s="278"/>
      <c r="V181" s="735" t="str">
        <f>IF(CE181=$CC$178,$CC$177,IF(CI181=$CG$178,$CG$177,$CE$173))</f>
        <v>                                                                                     </v>
      </c>
      <c r="W181" s="735"/>
      <c r="X181" s="735"/>
      <c r="Y181" s="735"/>
      <c r="Z181" s="735"/>
      <c r="AA181" s="735"/>
      <c r="AB181" s="735"/>
      <c r="AC181" s="735"/>
      <c r="AD181" s="735"/>
      <c r="AE181" s="735"/>
      <c r="AF181" s="735"/>
      <c r="AG181" s="735"/>
      <c r="AH181" s="735"/>
      <c r="AI181" s="735"/>
      <c r="AJ181" s="735"/>
      <c r="AK181" s="735"/>
      <c r="AL181" s="735"/>
      <c r="AM181" s="735"/>
      <c r="AN181" s="735"/>
      <c r="AO181" s="735"/>
      <c r="AP181" s="735"/>
      <c r="AQ181" s="735"/>
      <c r="AR181" s="735"/>
      <c r="AS181" s="735"/>
      <c r="AT181" s="735"/>
      <c r="AU181" s="735"/>
      <c r="AV181" s="735"/>
      <c r="AW181" s="735"/>
      <c r="AX181" s="735"/>
      <c r="AY181" s="735"/>
      <c r="AZ181" s="735"/>
      <c r="BA181" s="735"/>
      <c r="BB181" s="735"/>
      <c r="BC181" s="735"/>
      <c r="BD181" s="735"/>
      <c r="BE181" s="735"/>
      <c r="BF181" s="735"/>
      <c r="BG181" s="735"/>
      <c r="BH181" s="735"/>
      <c r="BI181" s="735"/>
      <c r="BJ181" s="735"/>
      <c r="BN181" s="289"/>
      <c r="BO181" s="8"/>
      <c r="BP181" s="8"/>
      <c r="BQ181" s="8"/>
      <c r="BR181" s="8"/>
      <c r="BS181" s="8"/>
      <c r="BT181" s="8"/>
      <c r="CC181" s="318">
        <f>IF($CC$178&lt;=E181,$CC$178,0)</f>
        <v>0</v>
      </c>
      <c r="CD181" s="318">
        <f>IF($CC$178&gt;E179,$CC$178,0)</f>
        <v>150.58869701726846</v>
      </c>
      <c r="CE181" s="3">
        <f>IF($CD$178=(CC181+CD181),$CC$178,0)</f>
        <v>0</v>
      </c>
      <c r="CG181" s="286">
        <f>IF($CG$178&lt;=E181,$CG$178,0)</f>
        <v>0</v>
      </c>
      <c r="CH181" s="286">
        <f>IF($CG$178&gt;E179,$CG$178,0)</f>
        <v>124.03414442700159</v>
      </c>
      <c r="CI181" s="3">
        <f>IF($CH$178=(CG181+CH181),$CG$178,0)</f>
        <v>0</v>
      </c>
    </row>
    <row r="182" spans="1:83" s="3" customFormat="1" ht="3" customHeight="1">
      <c r="A182" s="8">
        <v>1</v>
      </c>
      <c r="B182" s="8"/>
      <c r="C182" s="271"/>
      <c r="D182" s="320"/>
      <c r="E182" s="290"/>
      <c r="I182" s="290"/>
      <c r="J182" s="290"/>
      <c r="K182" s="290"/>
      <c r="L182" s="290"/>
      <c r="M182" s="290"/>
      <c r="N182" s="290"/>
      <c r="O182" s="289"/>
      <c r="P182" s="289"/>
      <c r="Q182" s="289"/>
      <c r="R182" s="289"/>
      <c r="S182" s="289"/>
      <c r="T182" s="289"/>
      <c r="U182" s="289"/>
      <c r="V182" s="289"/>
      <c r="W182" s="289"/>
      <c r="X182" s="289"/>
      <c r="Y182" s="289"/>
      <c r="Z182" s="289"/>
      <c r="AA182" s="289"/>
      <c r="AB182" s="289"/>
      <c r="AC182" s="289"/>
      <c r="AD182" s="278"/>
      <c r="AE182" s="278"/>
      <c r="AF182" s="278"/>
      <c r="AG182" s="278"/>
      <c r="AH182" s="278"/>
      <c r="AI182" s="278"/>
      <c r="AJ182" s="278"/>
      <c r="AK182" s="278"/>
      <c r="AL182" s="278"/>
      <c r="AM182" s="278"/>
      <c r="AN182" s="278"/>
      <c r="AO182" s="278"/>
      <c r="AP182" s="278"/>
      <c r="AQ182" s="278"/>
      <c r="AR182" s="278"/>
      <c r="AS182" s="278"/>
      <c r="AT182" s="278"/>
      <c r="AU182" s="278"/>
      <c r="AV182" s="278"/>
      <c r="AW182" s="278"/>
      <c r="AX182" s="278"/>
      <c r="AY182" s="278"/>
      <c r="AZ182" s="278"/>
      <c r="BA182" s="278"/>
      <c r="BN182" s="289"/>
      <c r="BO182" s="8"/>
      <c r="BP182" s="8"/>
      <c r="BQ182" s="8"/>
      <c r="BR182" s="8"/>
      <c r="BS182" s="8"/>
      <c r="BT182" s="8"/>
      <c r="CC182" s="318"/>
      <c r="CD182" s="318"/>
      <c r="CE182" s="318"/>
    </row>
    <row r="183" spans="1:87" s="3" customFormat="1" ht="15">
      <c r="A183" s="8">
        <v>1</v>
      </c>
      <c r="B183" s="8"/>
      <c r="C183" s="271"/>
      <c r="D183" s="320" t="s">
        <v>665</v>
      </c>
      <c r="E183" s="736">
        <v>50</v>
      </c>
      <c r="F183" s="664"/>
      <c r="G183" s="664"/>
      <c r="H183" s="664"/>
      <c r="I183" s="737" t="s">
        <v>663</v>
      </c>
      <c r="J183" s="660"/>
      <c r="K183" s="660"/>
      <c r="L183" s="660"/>
      <c r="M183" s="660"/>
      <c r="N183" s="660"/>
      <c r="O183" s="660"/>
      <c r="P183" s="660"/>
      <c r="Q183" s="660"/>
      <c r="R183" s="660"/>
      <c r="S183" s="660"/>
      <c r="T183" s="660"/>
      <c r="U183" s="660"/>
      <c r="V183" s="278"/>
      <c r="W183" s="278"/>
      <c r="X183" s="735" t="str">
        <f>IF(CE183=$CC$178,$CC$177,IF(CI183=$CG$178,$CG$177,$CE$173))</f>
        <v>                                                                                     </v>
      </c>
      <c r="Y183" s="735"/>
      <c r="Z183" s="735"/>
      <c r="AA183" s="735"/>
      <c r="AB183" s="735"/>
      <c r="AC183" s="735"/>
      <c r="AD183" s="735"/>
      <c r="AE183" s="735"/>
      <c r="AF183" s="735"/>
      <c r="AG183" s="735"/>
      <c r="AH183" s="735"/>
      <c r="AI183" s="735"/>
      <c r="AJ183" s="735"/>
      <c r="AK183" s="735"/>
      <c r="AL183" s="735"/>
      <c r="AM183" s="735"/>
      <c r="AN183" s="735"/>
      <c r="AO183" s="735"/>
      <c r="AP183" s="735"/>
      <c r="AQ183" s="735"/>
      <c r="AR183" s="735"/>
      <c r="AS183" s="735"/>
      <c r="AT183" s="735"/>
      <c r="AU183" s="735"/>
      <c r="AV183" s="735"/>
      <c r="AW183" s="735"/>
      <c r="AX183" s="735"/>
      <c r="AY183" s="735"/>
      <c r="AZ183" s="735"/>
      <c r="BA183" s="735"/>
      <c r="BB183" s="735"/>
      <c r="BC183" s="735"/>
      <c r="BD183" s="735"/>
      <c r="BE183" s="735"/>
      <c r="BF183" s="735"/>
      <c r="BG183" s="735"/>
      <c r="BH183" s="735"/>
      <c r="BI183" s="735"/>
      <c r="BJ183" s="735"/>
      <c r="BK183" s="735"/>
      <c r="BL183" s="735"/>
      <c r="BN183" s="289"/>
      <c r="BO183" s="8"/>
      <c r="BP183" s="8"/>
      <c r="BQ183" s="8"/>
      <c r="BR183" s="8"/>
      <c r="BS183" s="8"/>
      <c r="BT183" s="8"/>
      <c r="CC183" s="318">
        <f>IF($CC$178&lt;=E183,$CC$178,0)</f>
        <v>0</v>
      </c>
      <c r="CD183" s="318">
        <f>IF($CC$178&gt;E181,$CC$178,0)</f>
        <v>150.58869701726846</v>
      </c>
      <c r="CE183" s="3">
        <f>IF($CD$178=(CC183+CD183),$CC$178,0)</f>
        <v>0</v>
      </c>
      <c r="CG183" s="286">
        <f>IF($CG$178&lt;=E183,$CG$178,0)</f>
        <v>0</v>
      </c>
      <c r="CH183" s="286">
        <f>IF($CG$178&gt;E181,$CG$178,0)</f>
        <v>124.03414442700159</v>
      </c>
      <c r="CI183" s="3">
        <f>IF($CH$178=(CG183+CH183),$CG$178,0)</f>
        <v>0</v>
      </c>
    </row>
    <row r="184" spans="1:83" s="3" customFormat="1" ht="3" customHeight="1">
      <c r="A184" s="8">
        <v>1</v>
      </c>
      <c r="B184" s="8"/>
      <c r="C184" s="271"/>
      <c r="D184" s="320"/>
      <c r="E184" s="290"/>
      <c r="I184" s="290"/>
      <c r="J184" s="290"/>
      <c r="K184" s="290"/>
      <c r="L184" s="290"/>
      <c r="M184" s="290"/>
      <c r="N184" s="290"/>
      <c r="O184" s="290"/>
      <c r="P184" s="290"/>
      <c r="Q184" s="289"/>
      <c r="R184" s="289"/>
      <c r="S184" s="289"/>
      <c r="T184" s="289"/>
      <c r="U184" s="289"/>
      <c r="V184" s="289"/>
      <c r="W184" s="289"/>
      <c r="X184" s="289"/>
      <c r="Y184" s="289"/>
      <c r="Z184" s="289"/>
      <c r="AA184" s="289"/>
      <c r="AB184" s="289"/>
      <c r="AC184" s="290"/>
      <c r="AD184" s="278"/>
      <c r="AE184" s="278"/>
      <c r="AF184" s="278"/>
      <c r="AG184" s="278"/>
      <c r="AH184" s="278"/>
      <c r="AI184" s="278"/>
      <c r="AJ184" s="278"/>
      <c r="AK184" s="278"/>
      <c r="AL184" s="278"/>
      <c r="AM184" s="278"/>
      <c r="AN184" s="278"/>
      <c r="AO184" s="278"/>
      <c r="AP184" s="278"/>
      <c r="AQ184" s="278"/>
      <c r="AR184" s="278"/>
      <c r="AS184" s="278"/>
      <c r="AT184" s="278"/>
      <c r="AU184" s="278"/>
      <c r="AV184" s="278"/>
      <c r="AW184" s="278"/>
      <c r="AX184" s="278"/>
      <c r="AY184" s="278"/>
      <c r="AZ184" s="278"/>
      <c r="BA184" s="278"/>
      <c r="BN184" s="289"/>
      <c r="BO184" s="8"/>
      <c r="BP184" s="8"/>
      <c r="BQ184" s="8"/>
      <c r="BR184" s="8"/>
      <c r="BS184" s="8"/>
      <c r="BT184" s="8"/>
      <c r="CC184" s="318"/>
      <c r="CD184" s="318"/>
      <c r="CE184" s="318"/>
    </row>
    <row r="185" spans="1:87" s="3" customFormat="1" ht="15">
      <c r="A185" s="8">
        <v>1</v>
      </c>
      <c r="B185" s="8"/>
      <c r="C185" s="271"/>
      <c r="D185" s="320" t="s">
        <v>665</v>
      </c>
      <c r="E185" s="736">
        <v>70</v>
      </c>
      <c r="F185" s="664"/>
      <c r="G185" s="664"/>
      <c r="H185" s="664"/>
      <c r="I185" s="737" t="s">
        <v>668</v>
      </c>
      <c r="J185" s="660"/>
      <c r="K185" s="660"/>
      <c r="L185" s="660"/>
      <c r="M185" s="660"/>
      <c r="N185" s="660"/>
      <c r="O185" s="660"/>
      <c r="P185" s="660"/>
      <c r="Q185" s="660"/>
      <c r="R185" s="660"/>
      <c r="S185" s="660"/>
      <c r="T185" s="660"/>
      <c r="U185" s="660"/>
      <c r="V185" s="660"/>
      <c r="W185" s="660"/>
      <c r="X185" s="278"/>
      <c r="Y185" s="278"/>
      <c r="Z185" s="735" t="str">
        <f>IF(CE185=$CC$178,$CC$177,IF(CI185=$CG$178,$CG$177,$CE$173))</f>
        <v>                                                                                     </v>
      </c>
      <c r="AA185" s="735"/>
      <c r="AB185" s="735"/>
      <c r="AC185" s="735"/>
      <c r="AD185" s="735"/>
      <c r="AE185" s="735"/>
      <c r="AF185" s="735"/>
      <c r="AG185" s="735"/>
      <c r="AH185" s="735"/>
      <c r="AI185" s="735"/>
      <c r="AJ185" s="735"/>
      <c r="AK185" s="735"/>
      <c r="AL185" s="735"/>
      <c r="AM185" s="735"/>
      <c r="AN185" s="735"/>
      <c r="AO185" s="735"/>
      <c r="AP185" s="735"/>
      <c r="AQ185" s="735"/>
      <c r="AR185" s="735"/>
      <c r="AS185" s="735"/>
      <c r="AT185" s="735"/>
      <c r="AU185" s="735"/>
      <c r="AV185" s="735"/>
      <c r="AW185" s="735"/>
      <c r="AX185" s="735"/>
      <c r="AY185" s="735"/>
      <c r="AZ185" s="735"/>
      <c r="BA185" s="735"/>
      <c r="BB185" s="735"/>
      <c r="BC185" s="735"/>
      <c r="BD185" s="735"/>
      <c r="BE185" s="735"/>
      <c r="BF185" s="735"/>
      <c r="BG185" s="735"/>
      <c r="BH185" s="735"/>
      <c r="BI185" s="735"/>
      <c r="BJ185" s="735"/>
      <c r="BK185" s="735"/>
      <c r="BL185" s="735"/>
      <c r="BM185" s="735"/>
      <c r="BN185" s="735"/>
      <c r="BO185" s="8"/>
      <c r="BP185" s="8"/>
      <c r="BQ185" s="8"/>
      <c r="BR185" s="8"/>
      <c r="BS185" s="8"/>
      <c r="BT185" s="8"/>
      <c r="CC185" s="318">
        <f>IF($CC$178&lt;=E185,$CC$178,0)</f>
        <v>0</v>
      </c>
      <c r="CD185" s="318">
        <f>IF($CC$178&gt;E183,$CC$178,0)</f>
        <v>150.58869701726846</v>
      </c>
      <c r="CE185" s="3">
        <f>IF($CD$178=(CC185+CD185),$CC$178,0)</f>
        <v>0</v>
      </c>
      <c r="CG185" s="286">
        <f>IF($CG$178&lt;=E185,$CG$178,0)</f>
        <v>0</v>
      </c>
      <c r="CH185" s="286">
        <f>IF($CG$178&gt;E183,$CG$178,0)</f>
        <v>124.03414442700159</v>
      </c>
      <c r="CI185" s="3">
        <f>IF($CH$178=(CG185+CH185),$CG$178,0)</f>
        <v>0</v>
      </c>
    </row>
    <row r="186" spans="1:83" s="3" customFormat="1" ht="3" customHeight="1">
      <c r="A186" s="8">
        <v>1</v>
      </c>
      <c r="B186" s="8"/>
      <c r="C186" s="271"/>
      <c r="D186" s="320"/>
      <c r="E186" s="321"/>
      <c r="I186" s="291"/>
      <c r="J186" s="291"/>
      <c r="K186" s="291"/>
      <c r="L186" s="291"/>
      <c r="M186" s="291"/>
      <c r="N186" s="291"/>
      <c r="O186" s="291"/>
      <c r="P186" s="291"/>
      <c r="Q186" s="291"/>
      <c r="R186" s="291"/>
      <c r="S186" s="289"/>
      <c r="T186" s="289"/>
      <c r="U186" s="289"/>
      <c r="V186" s="289"/>
      <c r="W186" s="289"/>
      <c r="X186" s="289"/>
      <c r="Y186" s="289"/>
      <c r="Z186" s="289"/>
      <c r="AA186" s="289"/>
      <c r="AB186" s="289"/>
      <c r="AC186" s="289"/>
      <c r="AD186" s="278"/>
      <c r="AE186" s="278"/>
      <c r="AF186" s="278"/>
      <c r="AG186" s="278"/>
      <c r="AH186" s="278"/>
      <c r="AI186" s="278"/>
      <c r="AJ186" s="278"/>
      <c r="AK186" s="278"/>
      <c r="AL186" s="278"/>
      <c r="AM186" s="278"/>
      <c r="AN186" s="278"/>
      <c r="AO186" s="278"/>
      <c r="AP186" s="278"/>
      <c r="AQ186" s="278"/>
      <c r="AR186" s="278"/>
      <c r="AS186" s="278"/>
      <c r="AT186" s="278"/>
      <c r="AU186" s="278"/>
      <c r="AV186" s="278"/>
      <c r="AW186" s="278"/>
      <c r="AX186" s="278"/>
      <c r="AY186" s="278"/>
      <c r="AZ186" s="278"/>
      <c r="BA186" s="278"/>
      <c r="BN186" s="289"/>
      <c r="BO186" s="8"/>
      <c r="BP186" s="8"/>
      <c r="BQ186" s="8"/>
      <c r="BR186" s="8"/>
      <c r="BS186" s="8"/>
      <c r="BT186" s="8"/>
      <c r="CC186" s="318"/>
      <c r="CD186" s="318"/>
      <c r="CE186" s="318"/>
    </row>
    <row r="187" spans="1:87" s="3" customFormat="1" ht="15">
      <c r="A187" s="8">
        <v>1</v>
      </c>
      <c r="B187" s="8"/>
      <c r="C187" s="271"/>
      <c r="D187" s="320" t="s">
        <v>665</v>
      </c>
      <c r="E187" s="736">
        <v>90</v>
      </c>
      <c r="F187" s="664"/>
      <c r="G187" s="664"/>
      <c r="H187" s="664"/>
      <c r="I187" s="737" t="s">
        <v>664</v>
      </c>
      <c r="J187" s="660"/>
      <c r="K187" s="660"/>
      <c r="L187" s="660"/>
      <c r="M187" s="660"/>
      <c r="N187" s="660"/>
      <c r="O187" s="660"/>
      <c r="P187" s="660"/>
      <c r="Q187" s="660"/>
      <c r="R187" s="660"/>
      <c r="S187" s="660"/>
      <c r="T187" s="660"/>
      <c r="U187" s="660"/>
      <c r="V187" s="660"/>
      <c r="W187" s="660"/>
      <c r="X187" s="660"/>
      <c r="Y187" s="660"/>
      <c r="Z187" s="278"/>
      <c r="AA187" s="278"/>
      <c r="AB187" s="735" t="str">
        <f>IF(CE187=$CC$178,$CC$177,IF(CI187=$CG$178,$CG$177,$CE$173))</f>
        <v>                                                                                     </v>
      </c>
      <c r="AC187" s="735"/>
      <c r="AD187" s="735"/>
      <c r="AE187" s="735"/>
      <c r="AF187" s="735"/>
      <c r="AG187" s="735"/>
      <c r="AH187" s="735"/>
      <c r="AI187" s="735"/>
      <c r="AJ187" s="735"/>
      <c r="AK187" s="735"/>
      <c r="AL187" s="735"/>
      <c r="AM187" s="735"/>
      <c r="AN187" s="735"/>
      <c r="AO187" s="735"/>
      <c r="AP187" s="735"/>
      <c r="AQ187" s="735"/>
      <c r="AR187" s="735"/>
      <c r="AS187" s="735"/>
      <c r="AT187" s="735"/>
      <c r="AU187" s="735"/>
      <c r="AV187" s="735"/>
      <c r="AW187" s="735"/>
      <c r="AX187" s="735"/>
      <c r="AY187" s="735"/>
      <c r="AZ187" s="735"/>
      <c r="BA187" s="735"/>
      <c r="BB187" s="735"/>
      <c r="BC187" s="735"/>
      <c r="BD187" s="735"/>
      <c r="BE187" s="735"/>
      <c r="BF187" s="735"/>
      <c r="BG187" s="735"/>
      <c r="BH187" s="735"/>
      <c r="BI187" s="735"/>
      <c r="BJ187" s="735"/>
      <c r="BK187" s="735"/>
      <c r="BL187" s="735"/>
      <c r="BM187" s="735"/>
      <c r="BN187" s="735"/>
      <c r="BO187" s="735"/>
      <c r="BP187" s="735"/>
      <c r="BQ187" s="8"/>
      <c r="BR187" s="8"/>
      <c r="BS187" s="8"/>
      <c r="BT187" s="8"/>
      <c r="CC187" s="318">
        <f>IF($CC$178&lt;=E187,$CC$178,0)</f>
        <v>0</v>
      </c>
      <c r="CD187" s="318">
        <f>IF($CC$178&gt;E185,$CC$178,0)</f>
        <v>150.58869701726846</v>
      </c>
      <c r="CE187" s="3">
        <f>IF($CD$178=(CC187+CD187),$CC$178,0)</f>
        <v>0</v>
      </c>
      <c r="CG187" s="286">
        <f>IF($CG$178&lt;=E187,$CG$178,0)</f>
        <v>0</v>
      </c>
      <c r="CH187" s="286">
        <f>IF($CG$178&gt;E185,$CG$178,0)</f>
        <v>124.03414442700159</v>
      </c>
      <c r="CI187" s="3">
        <f>IF($CH$178=(CG187+CH187),$CG$178,0)</f>
        <v>0</v>
      </c>
    </row>
    <row r="188" spans="1:83" s="3" customFormat="1" ht="3" customHeight="1">
      <c r="A188" s="8">
        <v>1</v>
      </c>
      <c r="B188" s="8"/>
      <c r="C188" s="271"/>
      <c r="D188" s="320"/>
      <c r="E188" s="321"/>
      <c r="I188" s="291"/>
      <c r="J188" s="291"/>
      <c r="K188" s="291"/>
      <c r="L188" s="291"/>
      <c r="M188" s="291"/>
      <c r="N188" s="291"/>
      <c r="O188" s="291"/>
      <c r="P188" s="291"/>
      <c r="Q188" s="291"/>
      <c r="R188" s="291"/>
      <c r="S188" s="291"/>
      <c r="T188" s="291"/>
      <c r="U188" s="289"/>
      <c r="V188" s="289"/>
      <c r="W188" s="289"/>
      <c r="X188" s="289"/>
      <c r="Y188" s="289"/>
      <c r="Z188" s="289"/>
      <c r="AA188" s="289"/>
      <c r="AB188" s="289"/>
      <c r="AC188" s="291"/>
      <c r="AD188" s="278"/>
      <c r="AE188" s="278"/>
      <c r="AF188" s="278"/>
      <c r="AG188" s="278"/>
      <c r="AH188" s="278"/>
      <c r="AI188" s="278"/>
      <c r="AJ188" s="278"/>
      <c r="AK188" s="278"/>
      <c r="AL188" s="278"/>
      <c r="AM188" s="278"/>
      <c r="AN188" s="278"/>
      <c r="AO188" s="278"/>
      <c r="AP188" s="278"/>
      <c r="AQ188" s="278"/>
      <c r="AR188" s="278"/>
      <c r="AS188" s="278"/>
      <c r="AT188" s="278"/>
      <c r="AU188" s="278"/>
      <c r="AV188" s="278"/>
      <c r="AW188" s="278"/>
      <c r="AX188" s="278"/>
      <c r="AY188" s="278"/>
      <c r="AZ188" s="278"/>
      <c r="BA188" s="278"/>
      <c r="BN188" s="289"/>
      <c r="BO188" s="8"/>
      <c r="BP188" s="8"/>
      <c r="BQ188" s="8"/>
      <c r="BR188" s="8"/>
      <c r="BS188" s="8"/>
      <c r="BT188" s="8"/>
      <c r="CC188" s="318"/>
      <c r="CD188" s="318"/>
      <c r="CE188" s="318"/>
    </row>
    <row r="189" spans="1:87" s="3" customFormat="1" ht="15">
      <c r="A189" s="8">
        <v>1</v>
      </c>
      <c r="B189" s="8"/>
      <c r="C189" s="271"/>
      <c r="D189" s="320" t="s">
        <v>665</v>
      </c>
      <c r="E189" s="736">
        <v>120</v>
      </c>
      <c r="F189" s="664"/>
      <c r="G189" s="664"/>
      <c r="H189" s="664"/>
      <c r="I189" s="737" t="s">
        <v>669</v>
      </c>
      <c r="J189" s="660"/>
      <c r="K189" s="660"/>
      <c r="L189" s="660"/>
      <c r="M189" s="660"/>
      <c r="N189" s="660"/>
      <c r="O189" s="660"/>
      <c r="P189" s="660"/>
      <c r="Q189" s="660"/>
      <c r="R189" s="660"/>
      <c r="S189" s="660"/>
      <c r="T189" s="660"/>
      <c r="U189" s="660"/>
      <c r="V189" s="660"/>
      <c r="W189" s="660"/>
      <c r="X189" s="660"/>
      <c r="Y189" s="660"/>
      <c r="Z189" s="660"/>
      <c r="AA189" s="660"/>
      <c r="AB189" s="278"/>
      <c r="AC189" s="278"/>
      <c r="AD189" s="735" t="str">
        <f>IF(CE189=$CC$178,$CC$177,IF(CI189=$CG$178,$CG$177,$CE$173))</f>
        <v>                                                                                     </v>
      </c>
      <c r="AE189" s="735"/>
      <c r="AF189" s="735"/>
      <c r="AG189" s="735"/>
      <c r="AH189" s="735"/>
      <c r="AI189" s="735"/>
      <c r="AJ189" s="735"/>
      <c r="AK189" s="735"/>
      <c r="AL189" s="735"/>
      <c r="AM189" s="735"/>
      <c r="AN189" s="735"/>
      <c r="AO189" s="735"/>
      <c r="AP189" s="735"/>
      <c r="AQ189" s="735"/>
      <c r="AR189" s="735"/>
      <c r="AS189" s="735"/>
      <c r="AT189" s="735"/>
      <c r="AU189" s="735"/>
      <c r="AV189" s="735"/>
      <c r="AW189" s="735"/>
      <c r="AX189" s="735"/>
      <c r="AY189" s="735"/>
      <c r="AZ189" s="735"/>
      <c r="BA189" s="735"/>
      <c r="BB189" s="735"/>
      <c r="BC189" s="735"/>
      <c r="BD189" s="735"/>
      <c r="BE189" s="735"/>
      <c r="BF189" s="735"/>
      <c r="BG189" s="735"/>
      <c r="BH189" s="735"/>
      <c r="BI189" s="735"/>
      <c r="BJ189" s="735"/>
      <c r="BK189" s="735"/>
      <c r="BL189" s="735"/>
      <c r="BM189" s="735"/>
      <c r="BN189" s="735"/>
      <c r="BO189" s="735"/>
      <c r="BP189" s="735"/>
      <c r="BQ189" s="735"/>
      <c r="BR189" s="735"/>
      <c r="BS189" s="8"/>
      <c r="BT189" s="8"/>
      <c r="CC189" s="318">
        <f>IF($CC$178&lt;=E189,$CC$178,0)</f>
        <v>0</v>
      </c>
      <c r="CD189" s="318">
        <f>IF($CC$178&gt;E187,$CC$178,0)</f>
        <v>150.58869701726846</v>
      </c>
      <c r="CE189" s="3">
        <f>IF($CD$178=(CC189+CD189),$CC$178,0)</f>
        <v>0</v>
      </c>
      <c r="CG189" s="286">
        <f>IF($CG$178&lt;=E189,$CG$178,0)</f>
        <v>0</v>
      </c>
      <c r="CH189" s="286">
        <f>IF($CG$178&gt;E187,$CG$178,0)</f>
        <v>124.03414442700159</v>
      </c>
      <c r="CI189" s="3">
        <f>IF($CH$178=(CG189+CH189),$CG$178,0)</f>
        <v>0</v>
      </c>
    </row>
    <row r="190" spans="1:83" s="3" customFormat="1" ht="3" customHeight="1">
      <c r="A190" s="8">
        <v>1</v>
      </c>
      <c r="B190" s="8"/>
      <c r="C190" s="271"/>
      <c r="D190" s="320"/>
      <c r="E190" s="321"/>
      <c r="I190" s="291"/>
      <c r="J190" s="291"/>
      <c r="K190" s="291"/>
      <c r="L190" s="291"/>
      <c r="M190" s="291"/>
      <c r="N190" s="291"/>
      <c r="O190" s="291"/>
      <c r="P190" s="291"/>
      <c r="Q190" s="291"/>
      <c r="R190" s="291"/>
      <c r="S190" s="291"/>
      <c r="T190" s="291"/>
      <c r="U190" s="291"/>
      <c r="V190" s="291"/>
      <c r="W190" s="289"/>
      <c r="X190" s="289"/>
      <c r="Y190" s="289"/>
      <c r="Z190" s="289"/>
      <c r="AA190" s="289"/>
      <c r="AB190" s="289"/>
      <c r="AC190" s="291"/>
      <c r="AD190" s="278"/>
      <c r="AE190" s="278"/>
      <c r="AF190" s="278"/>
      <c r="AG190" s="278"/>
      <c r="AH190" s="278"/>
      <c r="AI190" s="278"/>
      <c r="AJ190" s="278"/>
      <c r="AK190" s="278"/>
      <c r="AL190" s="278"/>
      <c r="AM190" s="278"/>
      <c r="AN190" s="278"/>
      <c r="AO190" s="278"/>
      <c r="AP190" s="278"/>
      <c r="AQ190" s="278"/>
      <c r="AR190" s="278"/>
      <c r="AS190" s="278"/>
      <c r="AT190" s="278"/>
      <c r="AU190" s="278"/>
      <c r="AV190" s="278"/>
      <c r="AW190" s="278"/>
      <c r="AX190" s="278"/>
      <c r="AY190" s="278"/>
      <c r="AZ190" s="278"/>
      <c r="BA190" s="278"/>
      <c r="BN190" s="289"/>
      <c r="BO190" s="8"/>
      <c r="BP190" s="8"/>
      <c r="BQ190" s="8"/>
      <c r="BR190" s="8"/>
      <c r="BS190" s="8"/>
      <c r="BT190" s="8"/>
      <c r="CC190" s="318"/>
      <c r="CD190" s="318"/>
      <c r="CE190" s="318"/>
    </row>
    <row r="191" spans="1:87" s="3" customFormat="1" ht="15">
      <c r="A191" s="8">
        <v>1</v>
      </c>
      <c r="B191" s="8"/>
      <c r="C191" s="271"/>
      <c r="D191" s="320" t="s">
        <v>665</v>
      </c>
      <c r="E191" s="736">
        <v>160</v>
      </c>
      <c r="F191" s="664"/>
      <c r="G191" s="664"/>
      <c r="H191" s="664"/>
      <c r="I191" s="737" t="s">
        <v>23</v>
      </c>
      <c r="J191" s="660"/>
      <c r="K191" s="660"/>
      <c r="L191" s="660"/>
      <c r="M191" s="660"/>
      <c r="N191" s="660"/>
      <c r="O191" s="660"/>
      <c r="P191" s="660"/>
      <c r="Q191" s="660"/>
      <c r="R191" s="660"/>
      <c r="S191" s="660"/>
      <c r="T191" s="660"/>
      <c r="U191" s="660"/>
      <c r="V191" s="660"/>
      <c r="W191" s="660"/>
      <c r="X191" s="660"/>
      <c r="Y191" s="660"/>
      <c r="Z191" s="660"/>
      <c r="AA191" s="660"/>
      <c r="AB191" s="660"/>
      <c r="AC191" s="660"/>
      <c r="AD191" s="278"/>
      <c r="AE191" s="278"/>
      <c r="AF191" s="735" t="str">
        <f>IF(CE191=$CC$178,$CC$177,IF(CI191=$CG$178,$CG$177,$CE$173))</f>
        <v>150 kWh/m2/anno PRIMA degli interventi</v>
      </c>
      <c r="AG191" s="735"/>
      <c r="AH191" s="735"/>
      <c r="AI191" s="735"/>
      <c r="AJ191" s="735"/>
      <c r="AK191" s="735"/>
      <c r="AL191" s="735"/>
      <c r="AM191" s="735"/>
      <c r="AN191" s="735"/>
      <c r="AO191" s="735"/>
      <c r="AP191" s="735"/>
      <c r="AQ191" s="735"/>
      <c r="AR191" s="735"/>
      <c r="AS191" s="735"/>
      <c r="AT191" s="735"/>
      <c r="AU191" s="735"/>
      <c r="AV191" s="735"/>
      <c r="AW191" s="735"/>
      <c r="AX191" s="735"/>
      <c r="AY191" s="735"/>
      <c r="AZ191" s="735"/>
      <c r="BA191" s="735"/>
      <c r="BB191" s="735"/>
      <c r="BC191" s="735"/>
      <c r="BD191" s="735"/>
      <c r="BE191" s="735"/>
      <c r="BF191" s="735"/>
      <c r="BG191" s="735"/>
      <c r="BH191" s="735"/>
      <c r="BI191" s="735"/>
      <c r="BJ191" s="735"/>
      <c r="BK191" s="735"/>
      <c r="BL191" s="735"/>
      <c r="BM191" s="735"/>
      <c r="BN191" s="735"/>
      <c r="BO191" s="735"/>
      <c r="BP191" s="735"/>
      <c r="BQ191" s="735"/>
      <c r="BR191" s="735"/>
      <c r="BS191" s="735"/>
      <c r="BT191" s="735"/>
      <c r="CC191" s="318">
        <f>IF($CC$178&lt;=E191,$CC$178,0)</f>
        <v>150.58869701726846</v>
      </c>
      <c r="CD191" s="318">
        <f>IF($CC$178&gt;E189,$CC$178,0)</f>
        <v>150.58869701726846</v>
      </c>
      <c r="CE191" s="264">
        <f>IF($CD$178=(CC191+CD191),$CC$178,0)</f>
        <v>150.58869701726846</v>
      </c>
      <c r="CG191" s="286">
        <f>IF($CG$178&lt;=E191,$CG$178,0)</f>
        <v>124.03414442700159</v>
      </c>
      <c r="CH191" s="286">
        <f>IF($CG$178&gt;E189,$CG$178,0)</f>
        <v>124.03414442700159</v>
      </c>
      <c r="CI191" s="3">
        <f>IF($CH$178=(CG191+CH191),$CG$178,0)</f>
        <v>124.03414442700159</v>
      </c>
    </row>
    <row r="192" spans="1:83" s="3" customFormat="1" ht="3" customHeight="1">
      <c r="A192" s="8">
        <v>1</v>
      </c>
      <c r="B192" s="8"/>
      <c r="C192" s="271"/>
      <c r="D192" s="320"/>
      <c r="E192" s="321"/>
      <c r="I192" s="291"/>
      <c r="J192" s="291"/>
      <c r="K192" s="291"/>
      <c r="L192" s="291"/>
      <c r="M192" s="291"/>
      <c r="N192" s="291"/>
      <c r="O192" s="291"/>
      <c r="P192" s="291"/>
      <c r="Q192" s="291"/>
      <c r="R192" s="291"/>
      <c r="S192" s="291"/>
      <c r="T192" s="291"/>
      <c r="U192" s="291"/>
      <c r="V192" s="291"/>
      <c r="W192" s="291"/>
      <c r="X192" s="291"/>
      <c r="Y192" s="289"/>
      <c r="Z192" s="289"/>
      <c r="AA192" s="289"/>
      <c r="AB192" s="289"/>
      <c r="AC192" s="291"/>
      <c r="AD192" s="278"/>
      <c r="AE192" s="278"/>
      <c r="AF192" s="278"/>
      <c r="AG192" s="278"/>
      <c r="AH192" s="278"/>
      <c r="AI192" s="278"/>
      <c r="AJ192" s="278"/>
      <c r="AK192" s="278"/>
      <c r="AL192" s="278"/>
      <c r="AM192" s="278"/>
      <c r="AN192" s="278"/>
      <c r="AO192" s="278"/>
      <c r="AP192" s="278"/>
      <c r="AQ192" s="278"/>
      <c r="AR192" s="278"/>
      <c r="AS192" s="278"/>
      <c r="AT192" s="278"/>
      <c r="AU192" s="278"/>
      <c r="AV192" s="278"/>
      <c r="AW192" s="278"/>
      <c r="AX192" s="278"/>
      <c r="AY192" s="278"/>
      <c r="AZ192" s="278"/>
      <c r="BA192" s="278"/>
      <c r="BN192" s="289"/>
      <c r="BO192" s="8"/>
      <c r="BP192" s="8"/>
      <c r="BQ192" s="8"/>
      <c r="BR192" s="8"/>
      <c r="BS192" s="8"/>
      <c r="BT192" s="8"/>
      <c r="CC192" s="318"/>
      <c r="CD192" s="318"/>
      <c r="CE192" s="318"/>
    </row>
    <row r="193" spans="1:87" s="3" customFormat="1" ht="15">
      <c r="A193" s="8">
        <v>1</v>
      </c>
      <c r="B193" s="8"/>
      <c r="C193" s="271"/>
      <c r="D193" s="320" t="s">
        <v>665</v>
      </c>
      <c r="E193" s="736">
        <v>200</v>
      </c>
      <c r="F193" s="664"/>
      <c r="G193" s="664"/>
      <c r="H193" s="664"/>
      <c r="I193" s="737" t="s">
        <v>670</v>
      </c>
      <c r="J193" s="660"/>
      <c r="K193" s="660"/>
      <c r="L193" s="660"/>
      <c r="M193" s="660"/>
      <c r="N193" s="660"/>
      <c r="O193" s="660"/>
      <c r="P193" s="660"/>
      <c r="Q193" s="660"/>
      <c r="R193" s="660"/>
      <c r="S193" s="660"/>
      <c r="T193" s="660"/>
      <c r="U193" s="660"/>
      <c r="V193" s="660"/>
      <c r="W193" s="660"/>
      <c r="X193" s="660"/>
      <c r="Y193" s="660"/>
      <c r="Z193" s="660"/>
      <c r="AA193" s="660"/>
      <c r="AB193" s="660"/>
      <c r="AC193" s="660"/>
      <c r="AD193" s="660"/>
      <c r="AE193" s="660"/>
      <c r="AF193" s="278"/>
      <c r="AG193" s="278"/>
      <c r="AH193" s="735" t="str">
        <f>IF(CE193=$CC$178,$CC$177,IF(CI193=$CG$178,$CG$177,$CE$173))</f>
        <v>                                                                                     </v>
      </c>
      <c r="AI193" s="735"/>
      <c r="AJ193" s="735"/>
      <c r="AK193" s="735"/>
      <c r="AL193" s="735"/>
      <c r="AM193" s="735"/>
      <c r="AN193" s="735"/>
      <c r="AO193" s="735"/>
      <c r="AP193" s="735"/>
      <c r="AQ193" s="735"/>
      <c r="AR193" s="735"/>
      <c r="AS193" s="735"/>
      <c r="AT193" s="735"/>
      <c r="AU193" s="735"/>
      <c r="AV193" s="735"/>
      <c r="AW193" s="735"/>
      <c r="AX193" s="735"/>
      <c r="AY193" s="735"/>
      <c r="AZ193" s="735"/>
      <c r="BA193" s="735"/>
      <c r="BB193" s="735"/>
      <c r="BC193" s="735"/>
      <c r="BD193" s="735"/>
      <c r="BE193" s="735"/>
      <c r="BF193" s="735"/>
      <c r="BG193" s="735"/>
      <c r="BH193" s="735"/>
      <c r="BI193" s="735"/>
      <c r="BJ193" s="735"/>
      <c r="BK193" s="735"/>
      <c r="BL193" s="735"/>
      <c r="BM193" s="735"/>
      <c r="BN193" s="735"/>
      <c r="BO193" s="735"/>
      <c r="BP193" s="735"/>
      <c r="BQ193" s="735"/>
      <c r="BR193" s="735"/>
      <c r="BS193" s="735"/>
      <c r="BT193" s="735"/>
      <c r="BU193" s="735"/>
      <c r="BV193" s="735"/>
      <c r="CC193" s="318">
        <f>IF($CC$178&lt;=E193,$CC$178,0)</f>
        <v>150.58869701726846</v>
      </c>
      <c r="CD193" s="318">
        <f>IF($CC$178&gt;E191,$CC$178,0)</f>
        <v>0</v>
      </c>
      <c r="CE193" s="3">
        <f>IF($CD$178=(CC193+CD193),$CC$178,0)</f>
        <v>0</v>
      </c>
      <c r="CG193" s="286">
        <f>IF($CG$178&lt;=E193,$CG$178,0)</f>
        <v>124.03414442700159</v>
      </c>
      <c r="CH193" s="286">
        <f>IF($CG$178&gt;E191,$CG$178,0)</f>
        <v>0</v>
      </c>
      <c r="CI193" s="3">
        <f>IF($CH$178=(CG193+CH193),$CG$178,0)</f>
        <v>0</v>
      </c>
    </row>
    <row r="194" spans="1:83" s="3" customFormat="1" ht="3" customHeight="1">
      <c r="A194" s="8">
        <v>1</v>
      </c>
      <c r="B194" s="8"/>
      <c r="C194" s="271"/>
      <c r="D194" s="322"/>
      <c r="E194" s="321"/>
      <c r="I194" s="291"/>
      <c r="J194" s="291"/>
      <c r="K194" s="291"/>
      <c r="L194" s="291"/>
      <c r="M194" s="291"/>
      <c r="N194" s="291"/>
      <c r="O194" s="291"/>
      <c r="P194" s="291"/>
      <c r="Q194" s="291"/>
      <c r="R194" s="291"/>
      <c r="S194" s="291"/>
      <c r="T194" s="291"/>
      <c r="U194" s="291"/>
      <c r="V194" s="291"/>
      <c r="W194" s="291"/>
      <c r="X194" s="291"/>
      <c r="Y194" s="291"/>
      <c r="Z194" s="291"/>
      <c r="AA194" s="289"/>
      <c r="AB194" s="289"/>
      <c r="AC194" s="291"/>
      <c r="AD194" s="278"/>
      <c r="AE194" s="278"/>
      <c r="AF194" s="278"/>
      <c r="AG194" s="278"/>
      <c r="AH194" s="278"/>
      <c r="AI194" s="278"/>
      <c r="AJ194" s="278"/>
      <c r="AK194" s="735"/>
      <c r="AL194" s="735"/>
      <c r="AM194" s="735"/>
      <c r="AN194" s="735"/>
      <c r="AO194" s="735"/>
      <c r="AP194" s="735"/>
      <c r="AQ194" s="735"/>
      <c r="AR194" s="735"/>
      <c r="AS194" s="735"/>
      <c r="AT194" s="735"/>
      <c r="AU194" s="735"/>
      <c r="AV194" s="735"/>
      <c r="AW194" s="735"/>
      <c r="AX194" s="735"/>
      <c r="AY194" s="735"/>
      <c r="AZ194" s="735"/>
      <c r="BA194" s="735"/>
      <c r="BB194" s="735"/>
      <c r="BC194" s="735"/>
      <c r="BD194" s="735"/>
      <c r="BE194" s="735"/>
      <c r="BF194" s="735"/>
      <c r="BG194" s="735"/>
      <c r="BH194" s="735"/>
      <c r="BI194" s="735"/>
      <c r="BJ194" s="735"/>
      <c r="BK194" s="735"/>
      <c r="BL194" s="735"/>
      <c r="BM194" s="735"/>
      <c r="BN194" s="735"/>
      <c r="BO194" s="735"/>
      <c r="BP194" s="735"/>
      <c r="BQ194" s="735"/>
      <c r="BR194" s="735"/>
      <c r="BS194" s="735"/>
      <c r="BT194" s="735"/>
      <c r="BU194" s="735"/>
      <c r="BV194" s="735"/>
      <c r="BW194" s="735"/>
      <c r="BX194" s="735"/>
      <c r="BY194" s="735"/>
      <c r="CC194" s="318"/>
      <c r="CD194" s="318"/>
      <c r="CE194" s="318"/>
    </row>
    <row r="195" spans="1:87" s="3" customFormat="1" ht="15">
      <c r="A195" s="8">
        <v>1</v>
      </c>
      <c r="B195" s="8"/>
      <c r="C195" s="271"/>
      <c r="D195" s="320" t="s">
        <v>665</v>
      </c>
      <c r="E195" s="736">
        <v>260</v>
      </c>
      <c r="F195" s="664"/>
      <c r="G195" s="664"/>
      <c r="H195" s="664"/>
      <c r="I195" s="737" t="s">
        <v>671</v>
      </c>
      <c r="J195" s="660"/>
      <c r="K195" s="660"/>
      <c r="L195" s="660"/>
      <c r="M195" s="660"/>
      <c r="N195" s="660"/>
      <c r="O195" s="660"/>
      <c r="P195" s="660"/>
      <c r="Q195" s="660"/>
      <c r="R195" s="660"/>
      <c r="S195" s="660"/>
      <c r="T195" s="660"/>
      <c r="U195" s="660"/>
      <c r="V195" s="660"/>
      <c r="W195" s="660"/>
      <c r="X195" s="660"/>
      <c r="Y195" s="660"/>
      <c r="Z195" s="660"/>
      <c r="AA195" s="660"/>
      <c r="AB195" s="660"/>
      <c r="AC195" s="660"/>
      <c r="AD195" s="660"/>
      <c r="AE195" s="660"/>
      <c r="AF195" s="660"/>
      <c r="AG195" s="660"/>
      <c r="AH195" s="278"/>
      <c r="AI195" s="278"/>
      <c r="AJ195" s="735" t="str">
        <f>IF(CE195=$CC$178,$CC$177,IF(CI195=$CG$178,$CG$177,$CE$173))</f>
        <v>                                                                                     </v>
      </c>
      <c r="AK195" s="735"/>
      <c r="AL195" s="735"/>
      <c r="AM195" s="735"/>
      <c r="AN195" s="735"/>
      <c r="AO195" s="735"/>
      <c r="AP195" s="735"/>
      <c r="AQ195" s="735"/>
      <c r="AR195" s="735"/>
      <c r="AS195" s="735"/>
      <c r="AT195" s="735"/>
      <c r="AU195" s="735"/>
      <c r="AV195" s="735"/>
      <c r="AW195" s="735"/>
      <c r="AX195" s="735"/>
      <c r="AY195" s="735"/>
      <c r="AZ195" s="735"/>
      <c r="BA195" s="735"/>
      <c r="BB195" s="735"/>
      <c r="BC195" s="735"/>
      <c r="BD195" s="735"/>
      <c r="BE195" s="735"/>
      <c r="BF195" s="735"/>
      <c r="BG195" s="735"/>
      <c r="BH195" s="735"/>
      <c r="BI195" s="735"/>
      <c r="BJ195" s="735"/>
      <c r="BK195" s="735"/>
      <c r="BL195" s="735"/>
      <c r="BM195" s="735"/>
      <c r="BN195" s="735"/>
      <c r="BO195" s="735"/>
      <c r="BP195" s="735"/>
      <c r="BQ195" s="735"/>
      <c r="BR195" s="735"/>
      <c r="BS195" s="735"/>
      <c r="BT195" s="735"/>
      <c r="BU195" s="735"/>
      <c r="BV195" s="735"/>
      <c r="BW195" s="735"/>
      <c r="BX195" s="735"/>
      <c r="CC195" s="318">
        <f>IF($CC$178&lt;=E195,$CC$178,0)</f>
        <v>150.58869701726846</v>
      </c>
      <c r="CD195" s="318">
        <f>IF($CC$178&gt;E193,$CC$178,0)</f>
        <v>0</v>
      </c>
      <c r="CE195" s="3">
        <f>IF($CD$178=(CC195+CD195),$CC$178,0)</f>
        <v>0</v>
      </c>
      <c r="CG195" s="286">
        <f>IF($CG$178&lt;=E195,$CG$178,0)</f>
        <v>124.03414442700159</v>
      </c>
      <c r="CH195" s="286">
        <f>IF($CG$178&gt;E193,$CG$178,0)</f>
        <v>0</v>
      </c>
      <c r="CI195" s="3">
        <f>IF($CH$178=(CG195+CH195),$CG$178,0)</f>
        <v>0</v>
      </c>
    </row>
    <row r="196" spans="1:83" s="3" customFormat="1" ht="3" customHeight="1">
      <c r="A196" s="8">
        <v>1</v>
      </c>
      <c r="B196" s="8"/>
      <c r="C196" s="271"/>
      <c r="D196" s="322"/>
      <c r="E196" s="32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78"/>
      <c r="AE196" s="278"/>
      <c r="AF196" s="278"/>
      <c r="AG196" s="278"/>
      <c r="AH196" s="278"/>
      <c r="AI196" s="278"/>
      <c r="AJ196" s="278"/>
      <c r="AK196" s="278"/>
      <c r="AL196" s="278"/>
      <c r="AM196" s="278"/>
      <c r="AN196" s="278"/>
      <c r="AO196" s="278"/>
      <c r="AP196" s="278"/>
      <c r="AQ196" s="278"/>
      <c r="AR196" s="278"/>
      <c r="AS196" s="278"/>
      <c r="AT196" s="278"/>
      <c r="AU196" s="278"/>
      <c r="AV196" s="278"/>
      <c r="AW196" s="278"/>
      <c r="AX196" s="278"/>
      <c r="AY196" s="278"/>
      <c r="AZ196" s="278"/>
      <c r="BA196" s="278"/>
      <c r="BN196" s="321"/>
      <c r="BO196" s="8"/>
      <c r="BP196" s="8"/>
      <c r="BQ196" s="8"/>
      <c r="BR196" s="8"/>
      <c r="BS196" s="8"/>
      <c r="BT196" s="8"/>
      <c r="CC196" s="318"/>
      <c r="CD196" s="318"/>
      <c r="CE196" s="318"/>
    </row>
    <row r="197" spans="1:87" s="3" customFormat="1" ht="15">
      <c r="A197" s="8">
        <v>1</v>
      </c>
      <c r="B197" s="8"/>
      <c r="C197" s="271"/>
      <c r="D197" s="320" t="s">
        <v>672</v>
      </c>
      <c r="E197" s="736">
        <v>260</v>
      </c>
      <c r="F197" s="664"/>
      <c r="G197" s="664"/>
      <c r="H197" s="664"/>
      <c r="I197" s="737" t="s">
        <v>673</v>
      </c>
      <c r="J197" s="660"/>
      <c r="K197" s="660"/>
      <c r="L197" s="660"/>
      <c r="M197" s="660"/>
      <c r="N197" s="660"/>
      <c r="O197" s="660"/>
      <c r="P197" s="660"/>
      <c r="Q197" s="660"/>
      <c r="R197" s="660"/>
      <c r="S197" s="660"/>
      <c r="T197" s="660"/>
      <c r="U197" s="660"/>
      <c r="V197" s="660"/>
      <c r="W197" s="660"/>
      <c r="X197" s="660"/>
      <c r="Y197" s="660"/>
      <c r="Z197" s="660"/>
      <c r="AA197" s="660"/>
      <c r="AB197" s="660"/>
      <c r="AC197" s="660"/>
      <c r="AD197" s="660"/>
      <c r="AE197" s="660"/>
      <c r="AF197" s="660"/>
      <c r="AG197" s="660"/>
      <c r="AH197" s="660"/>
      <c r="AI197" s="660"/>
      <c r="AJ197" s="278"/>
      <c r="AK197" s="278"/>
      <c r="AL197" s="735" t="str">
        <f>IF(CE197=$CC$178,$CC$177,IF(CI197=$CG$178,$CG$177,$CE$173))</f>
        <v>                                                                                     </v>
      </c>
      <c r="AM197" s="735"/>
      <c r="AN197" s="735"/>
      <c r="AO197" s="735"/>
      <c r="AP197" s="735"/>
      <c r="AQ197" s="735"/>
      <c r="AR197" s="735"/>
      <c r="AS197" s="735"/>
      <c r="AT197" s="735"/>
      <c r="AU197" s="735"/>
      <c r="AV197" s="735"/>
      <c r="AW197" s="735"/>
      <c r="AX197" s="735"/>
      <c r="AY197" s="735"/>
      <c r="AZ197" s="735"/>
      <c r="BA197" s="735"/>
      <c r="BB197" s="735"/>
      <c r="BC197" s="735"/>
      <c r="BD197" s="735"/>
      <c r="BE197" s="735"/>
      <c r="BF197" s="735"/>
      <c r="BG197" s="735"/>
      <c r="BH197" s="735"/>
      <c r="BI197" s="735"/>
      <c r="BJ197" s="735"/>
      <c r="BK197" s="735"/>
      <c r="BL197" s="735"/>
      <c r="BM197" s="735"/>
      <c r="BN197" s="735"/>
      <c r="BO197" s="735"/>
      <c r="BP197" s="735"/>
      <c r="BQ197" s="735"/>
      <c r="BR197" s="735"/>
      <c r="BS197" s="735"/>
      <c r="BT197" s="735"/>
      <c r="BU197" s="735"/>
      <c r="BV197" s="735"/>
      <c r="BW197" s="735"/>
      <c r="BX197" s="735"/>
      <c r="BY197" s="735"/>
      <c r="BZ197" s="735"/>
      <c r="CC197" s="318">
        <f>IF($CC$178&gt;=E197,$CC$178,0)</f>
        <v>0</v>
      </c>
      <c r="CD197" s="318">
        <f>IF($CC$178&gt;E195,$CC$178,0)</f>
        <v>0</v>
      </c>
      <c r="CE197" s="3">
        <f>IF($CD$178=(CC197+CD197),$CC$178,0)</f>
        <v>0</v>
      </c>
      <c r="CG197" s="3">
        <f>IF(CG178&gt;=E197,CG178,0)</f>
        <v>0</v>
      </c>
      <c r="CH197" s="286">
        <f>IF($CG$178&gt;E195,$CG$178,0)</f>
        <v>0</v>
      </c>
      <c r="CI197" s="3">
        <f>IF($CH$178=(CG197+CH197),$CG$178,0)</f>
        <v>0</v>
      </c>
    </row>
    <row r="198" spans="1:72" s="3" customFormat="1" ht="13.5" customHeight="1">
      <c r="A198" s="8">
        <v>1</v>
      </c>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row>
    <row r="199" spans="1:72" s="3" customFormat="1" ht="9" customHeight="1">
      <c r="A199" s="8">
        <v>1</v>
      </c>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row>
    <row r="200" spans="1:86" s="3" customFormat="1" ht="15">
      <c r="A200" s="8">
        <v>1</v>
      </c>
      <c r="CH200" s="318"/>
    </row>
    <row r="201" spans="1:86" s="3" customFormat="1" ht="15">
      <c r="A201" s="8">
        <v>1</v>
      </c>
      <c r="CH201" s="318"/>
    </row>
    <row r="202" s="3" customFormat="1" ht="15">
      <c r="CH202" s="318"/>
    </row>
    <row r="203" s="3" customFormat="1" ht="15">
      <c r="CH203" s="318"/>
    </row>
    <row r="204" s="3" customFormat="1" ht="15">
      <c r="CH204" s="318"/>
    </row>
    <row r="205" s="3" customFormat="1" ht="15">
      <c r="CH205" s="318"/>
    </row>
    <row r="206" s="3" customFormat="1" ht="15">
      <c r="CH206" s="318"/>
    </row>
    <row r="207" s="3" customFormat="1" ht="15">
      <c r="CH207" s="318"/>
    </row>
    <row r="208" s="3" customFormat="1" ht="15">
      <c r="CH208" s="318"/>
    </row>
    <row r="209" s="3" customFormat="1" ht="15">
      <c r="CH209" s="318"/>
    </row>
    <row r="210" s="3" customFormat="1" ht="15">
      <c r="CH210" s="318"/>
    </row>
    <row r="211" s="3" customFormat="1" ht="15">
      <c r="CH211" s="318"/>
    </row>
    <row r="212" s="3" customFormat="1" ht="15">
      <c r="CH212" s="318"/>
    </row>
    <row r="213" s="3" customFormat="1" ht="15">
      <c r="CH213" s="318"/>
    </row>
    <row r="214" s="3" customFormat="1" ht="15">
      <c r="CH214" s="318"/>
    </row>
    <row r="215" s="3" customFormat="1" ht="15">
      <c r="CH215" s="318"/>
    </row>
    <row r="216" s="3" customFormat="1" ht="15">
      <c r="CH216" s="318"/>
    </row>
    <row r="217" s="3" customFormat="1" ht="15">
      <c r="CH217" s="318"/>
    </row>
    <row r="218" ht="15">
      <c r="CH218" s="10"/>
    </row>
    <row r="219" spans="81:86" ht="15">
      <c r="CC219" s="10"/>
      <c r="CD219" s="10"/>
      <c r="CE219" s="10"/>
      <c r="CF219" s="10"/>
      <c r="CG219" s="10"/>
      <c r="CH219" s="10"/>
    </row>
  </sheetData>
  <sheetProtection password="D412" sheet="1"/>
  <mergeCells count="423">
    <mergeCell ref="CD166:CS169"/>
    <mergeCell ref="AB187:BP187"/>
    <mergeCell ref="Z185:BN185"/>
    <mergeCell ref="X183:BL183"/>
    <mergeCell ref="V181:BJ181"/>
    <mergeCell ref="E197:H197"/>
    <mergeCell ref="I179:Q179"/>
    <mergeCell ref="I197:AI197"/>
    <mergeCell ref="AL197:BZ197"/>
    <mergeCell ref="AJ195:BX195"/>
    <mergeCell ref="AH193:BV193"/>
    <mergeCell ref="I181:S181"/>
    <mergeCell ref="I183:U183"/>
    <mergeCell ref="I185:W185"/>
    <mergeCell ref="I187:Y187"/>
    <mergeCell ref="E183:H183"/>
    <mergeCell ref="E185:H185"/>
    <mergeCell ref="E187:H187"/>
    <mergeCell ref="E189:H189"/>
    <mergeCell ref="I193:AE193"/>
    <mergeCell ref="I195:AG195"/>
    <mergeCell ref="AF191:BT191"/>
    <mergeCell ref="AD189:BR189"/>
    <mergeCell ref="I189:AA189"/>
    <mergeCell ref="I191:AC191"/>
    <mergeCell ref="B150:C150"/>
    <mergeCell ref="B151:C151"/>
    <mergeCell ref="E191:H191"/>
    <mergeCell ref="E193:H193"/>
    <mergeCell ref="E195:H195"/>
    <mergeCell ref="T179:BH179"/>
    <mergeCell ref="AK194:BY194"/>
    <mergeCell ref="AB180:BP180"/>
    <mergeCell ref="E179:H179"/>
    <mergeCell ref="E181:H181"/>
    <mergeCell ref="M143:V143"/>
    <mergeCell ref="M145:V145"/>
    <mergeCell ref="D147:L147"/>
    <mergeCell ref="D155:L155"/>
    <mergeCell ref="BR154:CA154"/>
    <mergeCell ref="B144:C144"/>
    <mergeCell ref="D143:L143"/>
    <mergeCell ref="CM129:CN129"/>
    <mergeCell ref="CC127:CC129"/>
    <mergeCell ref="CF128:CF129"/>
    <mergeCell ref="CG128:CG129"/>
    <mergeCell ref="CH128:CH129"/>
    <mergeCell ref="D141:L141"/>
    <mergeCell ref="D134:L134"/>
    <mergeCell ref="D135:L135"/>
    <mergeCell ref="D136:L136"/>
    <mergeCell ref="D132:L132"/>
    <mergeCell ref="D142:L142"/>
    <mergeCell ref="D137:L137"/>
    <mergeCell ref="D138:L138"/>
    <mergeCell ref="D139:L139"/>
    <mergeCell ref="D140:L140"/>
    <mergeCell ref="B138:C138"/>
    <mergeCell ref="DA128:DA129"/>
    <mergeCell ref="CY128:CY129"/>
    <mergeCell ref="B141:C141"/>
    <mergeCell ref="B142:C142"/>
    <mergeCell ref="BJ147:BQ147"/>
    <mergeCell ref="D146:L146"/>
    <mergeCell ref="B143:C143"/>
    <mergeCell ref="D144:L144"/>
    <mergeCell ref="D145:L145"/>
    <mergeCell ref="B153:C153"/>
    <mergeCell ref="B139:C139"/>
    <mergeCell ref="B140:C140"/>
    <mergeCell ref="B154:C154"/>
    <mergeCell ref="B145:C145"/>
    <mergeCell ref="B146:C146"/>
    <mergeCell ref="B147:C147"/>
    <mergeCell ref="B148:C148"/>
    <mergeCell ref="B149:C149"/>
    <mergeCell ref="B152:C152"/>
    <mergeCell ref="B132:C132"/>
    <mergeCell ref="AO43:BT43"/>
    <mergeCell ref="B134:C134"/>
    <mergeCell ref="B135:C135"/>
    <mergeCell ref="B136:C136"/>
    <mergeCell ref="B137:C137"/>
    <mergeCell ref="D130:L130"/>
    <mergeCell ref="D131:L131"/>
    <mergeCell ref="D133:L133"/>
    <mergeCell ref="BQ61:CA61"/>
    <mergeCell ref="B50:BP50"/>
    <mergeCell ref="B51:BP51"/>
    <mergeCell ref="B61:BP61"/>
    <mergeCell ref="B64:AK64"/>
    <mergeCell ref="B58:BP58"/>
    <mergeCell ref="BQ58:CA58"/>
    <mergeCell ref="AV63:BC63"/>
    <mergeCell ref="BF63:CA63"/>
    <mergeCell ref="BU64:CA66"/>
    <mergeCell ref="AV65:BC65"/>
    <mergeCell ref="AL27:AU27"/>
    <mergeCell ref="AL28:AU28"/>
    <mergeCell ref="AB25:AK25"/>
    <mergeCell ref="AB26:AK26"/>
    <mergeCell ref="AB27:AK27"/>
    <mergeCell ref="AB28:AK28"/>
    <mergeCell ref="AL25:AU25"/>
    <mergeCell ref="W132:AG132"/>
    <mergeCell ref="AM63:AT63"/>
    <mergeCell ref="M132:V132"/>
    <mergeCell ref="M133:V133"/>
    <mergeCell ref="C119:CA124"/>
    <mergeCell ref="W130:AG130"/>
    <mergeCell ref="AH130:AQ130"/>
    <mergeCell ref="AH131:AQ131"/>
    <mergeCell ref="BV67:CA68"/>
    <mergeCell ref="AM67:AT67"/>
    <mergeCell ref="B133:C133"/>
    <mergeCell ref="AK32:AP32"/>
    <mergeCell ref="AK33:AP33"/>
    <mergeCell ref="AK34:AP34"/>
    <mergeCell ref="B130:C130"/>
    <mergeCell ref="B131:C131"/>
    <mergeCell ref="M130:V130"/>
    <mergeCell ref="M131:V131"/>
    <mergeCell ref="W129:AG129"/>
    <mergeCell ref="AG42:AM42"/>
    <mergeCell ref="M134:V134"/>
    <mergeCell ref="W131:AG131"/>
    <mergeCell ref="B155:C155"/>
    <mergeCell ref="BJ134:BQ134"/>
    <mergeCell ref="BJ133:BQ133"/>
    <mergeCell ref="BJ132:BQ132"/>
    <mergeCell ref="BJ131:BQ131"/>
    <mergeCell ref="D152:L152"/>
    <mergeCell ref="D153:L153"/>
    <mergeCell ref="D154:L154"/>
    <mergeCell ref="W142:AG142"/>
    <mergeCell ref="W145:AG145"/>
    <mergeCell ref="AH148:AQ148"/>
    <mergeCell ref="AH140:AQ140"/>
    <mergeCell ref="W146:AG146"/>
    <mergeCell ref="W147:AG147"/>
    <mergeCell ref="W148:AG148"/>
    <mergeCell ref="BR155:CA155"/>
    <mergeCell ref="M142:V142"/>
    <mergeCell ref="D150:L150"/>
    <mergeCell ref="D151:L151"/>
    <mergeCell ref="D148:L148"/>
    <mergeCell ref="D149:L149"/>
    <mergeCell ref="M152:V152"/>
    <mergeCell ref="M150:V150"/>
    <mergeCell ref="BR153:CA153"/>
    <mergeCell ref="M153:V153"/>
    <mergeCell ref="BR152:CA152"/>
    <mergeCell ref="AH152:AQ152"/>
    <mergeCell ref="AH153:AQ153"/>
    <mergeCell ref="AR153:AZ153"/>
    <mergeCell ref="BA153:BI153"/>
    <mergeCell ref="AH150:AQ150"/>
    <mergeCell ref="BJ152:BQ152"/>
    <mergeCell ref="BA150:BI150"/>
    <mergeCell ref="BA151:BI151"/>
    <mergeCell ref="W153:AG153"/>
    <mergeCell ref="BR150:CA150"/>
    <mergeCell ref="BJ130:BQ130"/>
    <mergeCell ref="M147:V147"/>
    <mergeCell ref="AH151:AQ151"/>
    <mergeCell ref="AR149:AZ149"/>
    <mergeCell ref="AR152:AZ152"/>
    <mergeCell ref="AR142:AZ142"/>
    <mergeCell ref="AH145:AQ145"/>
    <mergeCell ref="W136:AG136"/>
    <mergeCell ref="AH154:AQ154"/>
    <mergeCell ref="M135:V135"/>
    <mergeCell ref="M136:V136"/>
    <mergeCell ref="M138:V138"/>
    <mergeCell ref="M139:V139"/>
    <mergeCell ref="M140:V140"/>
    <mergeCell ref="W143:AG143"/>
    <mergeCell ref="M149:V149"/>
    <mergeCell ref="M137:V137"/>
    <mergeCell ref="M144:V144"/>
    <mergeCell ref="W137:AG137"/>
    <mergeCell ref="W138:AG138"/>
    <mergeCell ref="W151:AG151"/>
    <mergeCell ref="M146:V146"/>
    <mergeCell ref="W144:AG144"/>
    <mergeCell ref="M141:V141"/>
    <mergeCell ref="M151:V151"/>
    <mergeCell ref="W139:AG139"/>
    <mergeCell ref="W140:AG140"/>
    <mergeCell ref="W141:AG141"/>
    <mergeCell ref="W154:AG154"/>
    <mergeCell ref="W155:AG155"/>
    <mergeCell ref="W150:AG150"/>
    <mergeCell ref="W133:AG133"/>
    <mergeCell ref="M154:V154"/>
    <mergeCell ref="M148:V148"/>
    <mergeCell ref="W149:AG149"/>
    <mergeCell ref="M155:V155"/>
    <mergeCell ref="W134:AG134"/>
    <mergeCell ref="W135:AG135"/>
    <mergeCell ref="BR145:CA145"/>
    <mergeCell ref="BR148:CA148"/>
    <mergeCell ref="BR149:CA149"/>
    <mergeCell ref="W152:AG152"/>
    <mergeCell ref="BR151:CA151"/>
    <mergeCell ref="AR137:AZ137"/>
    <mergeCell ref="AR140:AZ140"/>
    <mergeCell ref="AH138:AQ138"/>
    <mergeCell ref="BR147:CA147"/>
    <mergeCell ref="AH141:AQ141"/>
    <mergeCell ref="BR143:CA143"/>
    <mergeCell ref="AH146:AQ146"/>
    <mergeCell ref="AH147:AQ147"/>
    <mergeCell ref="AR143:AZ143"/>
    <mergeCell ref="BR144:CA144"/>
    <mergeCell ref="AH155:AQ155"/>
    <mergeCell ref="AH149:AQ149"/>
    <mergeCell ref="AH143:AQ143"/>
    <mergeCell ref="AH144:AQ144"/>
    <mergeCell ref="AR155:AZ155"/>
    <mergeCell ref="AR130:AZ130"/>
    <mergeCell ref="AR131:AZ131"/>
    <mergeCell ref="AR132:AZ132"/>
    <mergeCell ref="AR133:AZ133"/>
    <mergeCell ref="AR134:AZ134"/>
    <mergeCell ref="AH132:AQ132"/>
    <mergeCell ref="AH133:AQ133"/>
    <mergeCell ref="AH134:AQ134"/>
    <mergeCell ref="AH135:AQ135"/>
    <mergeCell ref="AR139:AZ139"/>
    <mergeCell ref="AR144:AZ144"/>
    <mergeCell ref="AH136:AQ136"/>
    <mergeCell ref="AH137:AQ137"/>
    <mergeCell ref="AH139:AQ139"/>
    <mergeCell ref="AH142:AQ142"/>
    <mergeCell ref="AR154:AZ154"/>
    <mergeCell ref="AR147:AZ147"/>
    <mergeCell ref="BA143:BI143"/>
    <mergeCell ref="BA145:BI145"/>
    <mergeCell ref="BA146:BI146"/>
    <mergeCell ref="BA152:BI152"/>
    <mergeCell ref="AR148:AZ148"/>
    <mergeCell ref="AR145:AZ145"/>
    <mergeCell ref="AR146:AZ146"/>
    <mergeCell ref="BA154:BI154"/>
    <mergeCell ref="BA129:BI129"/>
    <mergeCell ref="BA155:BI155"/>
    <mergeCell ref="BA144:BI144"/>
    <mergeCell ref="BA134:BI134"/>
    <mergeCell ref="AR141:AZ141"/>
    <mergeCell ref="AR150:AZ150"/>
    <mergeCell ref="AR151:AZ151"/>
    <mergeCell ref="AR135:AZ135"/>
    <mergeCell ref="AR136:AZ136"/>
    <mergeCell ref="AR138:AZ138"/>
    <mergeCell ref="BJ135:BQ135"/>
    <mergeCell ref="BJ136:BQ136"/>
    <mergeCell ref="BJ137:BQ137"/>
    <mergeCell ref="BJ138:BQ138"/>
    <mergeCell ref="BJ145:BQ145"/>
    <mergeCell ref="BJ151:BQ151"/>
    <mergeCell ref="BJ150:BQ150"/>
    <mergeCell ref="BA132:BI132"/>
    <mergeCell ref="BA133:BI133"/>
    <mergeCell ref="BA140:BI140"/>
    <mergeCell ref="BA141:BI141"/>
    <mergeCell ref="BA149:BI149"/>
    <mergeCell ref="BA142:BI142"/>
    <mergeCell ref="BA138:BI138"/>
    <mergeCell ref="BA139:BI139"/>
    <mergeCell ref="BR139:CA139"/>
    <mergeCell ref="BR140:CA140"/>
    <mergeCell ref="BJ139:BQ139"/>
    <mergeCell ref="BJ140:BQ140"/>
    <mergeCell ref="BJ153:BQ153"/>
    <mergeCell ref="BJ141:BQ141"/>
    <mergeCell ref="BJ142:BQ142"/>
    <mergeCell ref="BJ143:BQ143"/>
    <mergeCell ref="BJ144:BQ144"/>
    <mergeCell ref="BJ146:BQ146"/>
    <mergeCell ref="BJ154:BQ154"/>
    <mergeCell ref="BJ155:BQ155"/>
    <mergeCell ref="BR130:CA130"/>
    <mergeCell ref="BR131:CA131"/>
    <mergeCell ref="BR132:CA132"/>
    <mergeCell ref="BR133:CA133"/>
    <mergeCell ref="BR134:CA134"/>
    <mergeCell ref="BR135:CA135"/>
    <mergeCell ref="BJ149:BQ149"/>
    <mergeCell ref="BR137:CA137"/>
    <mergeCell ref="BP25:BZ25"/>
    <mergeCell ref="BP26:BZ26"/>
    <mergeCell ref="BP27:BZ27"/>
    <mergeCell ref="BF27:BO27"/>
    <mergeCell ref="BF28:BO28"/>
    <mergeCell ref="BR141:CA141"/>
    <mergeCell ref="BA136:BI136"/>
    <mergeCell ref="BA137:BI137"/>
    <mergeCell ref="BA135:BI135"/>
    <mergeCell ref="BA130:BI130"/>
    <mergeCell ref="BR136:CA136"/>
    <mergeCell ref="BJ148:BQ148"/>
    <mergeCell ref="BA128:BQ128"/>
    <mergeCell ref="BR128:CA129"/>
    <mergeCell ref="BR142:CA142"/>
    <mergeCell ref="BA147:BI147"/>
    <mergeCell ref="BA148:BI148"/>
    <mergeCell ref="BA131:BI131"/>
    <mergeCell ref="BR146:CA146"/>
    <mergeCell ref="BR138:CA138"/>
    <mergeCell ref="B33:J34"/>
    <mergeCell ref="K33:V34"/>
    <mergeCell ref="B23:CA23"/>
    <mergeCell ref="AV28:BE28"/>
    <mergeCell ref="AL26:AU26"/>
    <mergeCell ref="BI31:BP31"/>
    <mergeCell ref="AK31:AP31"/>
    <mergeCell ref="AV25:BE25"/>
    <mergeCell ref="BF25:BO25"/>
    <mergeCell ref="BI32:BP32"/>
    <mergeCell ref="AO42:BT42"/>
    <mergeCell ref="BF26:BO26"/>
    <mergeCell ref="B31:V32"/>
    <mergeCell ref="B12:CA12"/>
    <mergeCell ref="B17:CA17"/>
    <mergeCell ref="B21:CA21"/>
    <mergeCell ref="U22:CA22"/>
    <mergeCell ref="N24:R24"/>
    <mergeCell ref="BI33:BP33"/>
    <mergeCell ref="AV27:BE27"/>
    <mergeCell ref="BI34:BP34"/>
    <mergeCell ref="B14:CA14"/>
    <mergeCell ref="AO41:BT41"/>
    <mergeCell ref="B41:AF41"/>
    <mergeCell ref="B30:CA30"/>
    <mergeCell ref="B15:T15"/>
    <mergeCell ref="AG41:AM41"/>
    <mergeCell ref="BU41:CA41"/>
    <mergeCell ref="BP28:BZ28"/>
    <mergeCell ref="AV26:BE26"/>
    <mergeCell ref="B126:CA126"/>
    <mergeCell ref="BJ129:BQ129"/>
    <mergeCell ref="B43:AF43"/>
    <mergeCell ref="B40:CA40"/>
    <mergeCell ref="B46:BP46"/>
    <mergeCell ref="AG43:AM43"/>
    <mergeCell ref="BU43:CA43"/>
    <mergeCell ref="B42:AF42"/>
    <mergeCell ref="BU42:CA42"/>
    <mergeCell ref="AM64:AT64"/>
    <mergeCell ref="B128:C129"/>
    <mergeCell ref="D128:L129"/>
    <mergeCell ref="M128:AG128"/>
    <mergeCell ref="AH128:AZ128"/>
    <mergeCell ref="AH129:AQ129"/>
    <mergeCell ref="M129:V129"/>
    <mergeCell ref="AR129:AZ129"/>
    <mergeCell ref="B97:CA97"/>
    <mergeCell ref="C75:CA92"/>
    <mergeCell ref="C74:H74"/>
    <mergeCell ref="B66:AK66"/>
    <mergeCell ref="B65:AK65"/>
    <mergeCell ref="B67:AK67"/>
    <mergeCell ref="B68:AK68"/>
    <mergeCell ref="AM68:AT68"/>
    <mergeCell ref="AM65:AT65"/>
    <mergeCell ref="AM66:AT66"/>
    <mergeCell ref="BF71:BU72"/>
    <mergeCell ref="AM72:BC72"/>
    <mergeCell ref="B70:AK70"/>
    <mergeCell ref="BF67:BU68"/>
    <mergeCell ref="AV70:BC70"/>
    <mergeCell ref="AV71:BC71"/>
    <mergeCell ref="BQ51:CA57"/>
    <mergeCell ref="BV71:CA72"/>
    <mergeCell ref="AV69:BC69"/>
    <mergeCell ref="B47:BP47"/>
    <mergeCell ref="B59:R59"/>
    <mergeCell ref="S59:BP59"/>
    <mergeCell ref="B69:AK69"/>
    <mergeCell ref="AM69:AT69"/>
    <mergeCell ref="AV66:BC66"/>
    <mergeCell ref="AV67:BC67"/>
    <mergeCell ref="BQ59:CA59"/>
    <mergeCell ref="B71:AK71"/>
    <mergeCell ref="B72:AK72"/>
    <mergeCell ref="AM70:AT70"/>
    <mergeCell ref="AM71:AT71"/>
    <mergeCell ref="B60:O60"/>
    <mergeCell ref="BT69:CA70"/>
    <mergeCell ref="AV64:BC64"/>
    <mergeCell ref="AV68:BC68"/>
    <mergeCell ref="BF69:BS70"/>
    <mergeCell ref="DK127:DK129"/>
    <mergeCell ref="B5:CA5"/>
    <mergeCell ref="B6:CA6"/>
    <mergeCell ref="B7:CA7"/>
    <mergeCell ref="BF64:BT66"/>
    <mergeCell ref="B95:CA95"/>
    <mergeCell ref="BQ46:CA47"/>
    <mergeCell ref="B117:CA117"/>
    <mergeCell ref="X26:AA26"/>
    <mergeCell ref="BQ50:CA50"/>
    <mergeCell ref="X27:AA27"/>
    <mergeCell ref="B175:CA175"/>
    <mergeCell ref="B63:H63"/>
    <mergeCell ref="I63:AK63"/>
    <mergeCell ref="P60:BP60"/>
    <mergeCell ref="BQ60:CA60"/>
    <mergeCell ref="B48:BP48"/>
    <mergeCell ref="BQ48:CA49"/>
    <mergeCell ref="B52:BP57"/>
    <mergeCell ref="B49:BP49"/>
    <mergeCell ref="CD158:CS162"/>
    <mergeCell ref="C158:CA173"/>
    <mergeCell ref="X28:AA28"/>
    <mergeCell ref="B45:BP45"/>
    <mergeCell ref="BQ45:CA45"/>
    <mergeCell ref="B25:W25"/>
    <mergeCell ref="B26:W26"/>
    <mergeCell ref="B27:W27"/>
    <mergeCell ref="B28:W28"/>
    <mergeCell ref="X25:AA25"/>
  </mergeCells>
  <printOptions/>
  <pageMargins left="0.03937007874015748" right="0.03937007874015748" top="1.141732283464567" bottom="1.141732283464567" header="0.31496062992125984" footer="0.31496062992125984"/>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tabColor theme="0"/>
  </sheetPr>
  <dimension ref="A1:FB201"/>
  <sheetViews>
    <sheetView showGridLines="0" showRowColHeaders="0" zoomScalePageLayoutView="0" workbookViewId="0" topLeftCell="A1">
      <selection activeCell="A1" sqref="A1"/>
    </sheetView>
  </sheetViews>
  <sheetFormatPr defaultColWidth="9.140625" defaultRowHeight="15"/>
  <cols>
    <col min="1" max="1" width="5.00390625" style="3" customWidth="1"/>
    <col min="2" max="2" width="1.28515625" style="3" customWidth="1"/>
    <col min="3" max="3" width="1.421875" style="3" customWidth="1"/>
    <col min="4" max="80" width="1.28515625" style="3" customWidth="1"/>
    <col min="81" max="81" width="11.00390625" style="3" customWidth="1"/>
    <col min="82" max="82" width="11.57421875" style="3" customWidth="1"/>
    <col min="83" max="83" width="14.28125" style="3" customWidth="1"/>
    <col min="84" max="84" width="11.57421875" style="3" customWidth="1"/>
    <col min="85" max="85" width="11.00390625" style="3" customWidth="1"/>
    <col min="86" max="86" width="12.140625" style="3" customWidth="1"/>
    <col min="87" max="87" width="7.8515625" style="3" customWidth="1"/>
    <col min="88" max="88" width="8.00390625" style="3" customWidth="1"/>
    <col min="89" max="89" width="9.8515625" style="3" customWidth="1"/>
    <col min="90" max="90" width="3.00390625" style="3" customWidth="1"/>
    <col min="91" max="91" width="9.8515625" style="3" customWidth="1"/>
    <col min="92" max="92" width="10.57421875" style="3" customWidth="1"/>
    <col min="93" max="93" width="3.00390625" style="3" customWidth="1"/>
    <col min="94" max="94" width="9.7109375" style="3" customWidth="1"/>
    <col min="95" max="95" width="8.8515625" style="3" customWidth="1"/>
    <col min="96" max="96" width="3.00390625" style="3" customWidth="1"/>
    <col min="97" max="97" width="10.140625" style="3" customWidth="1"/>
    <col min="98" max="98" width="9.8515625" style="3" customWidth="1"/>
    <col min="99" max="99" width="3.00390625" style="3" customWidth="1"/>
    <col min="100" max="101" width="10.421875" style="3" customWidth="1"/>
    <col min="102" max="102" width="3.00390625" style="3" customWidth="1"/>
    <col min="103" max="104" width="9.8515625" style="3" customWidth="1"/>
    <col min="105" max="105" width="11.7109375" style="3" customWidth="1"/>
    <col min="106" max="106" width="8.00390625" style="3" customWidth="1"/>
    <col min="107" max="107" width="8.57421875" style="3" customWidth="1"/>
    <col min="108" max="108" width="11.421875" style="3" customWidth="1"/>
    <col min="109" max="109" width="10.57421875" style="3" customWidth="1"/>
    <col min="110" max="110" width="9.57421875" style="3" customWidth="1"/>
    <col min="111" max="111" width="3.00390625" style="3" customWidth="1"/>
    <col min="112" max="112" width="9.57421875" style="3" customWidth="1"/>
    <col min="113" max="113" width="8.00390625" style="3" customWidth="1"/>
    <col min="114" max="114" width="3.00390625" style="3" customWidth="1"/>
    <col min="115" max="115" width="9.140625" style="3" customWidth="1"/>
    <col min="116" max="116" width="8.00390625" style="3" customWidth="1"/>
    <col min="117" max="117" width="3.00390625" style="3" customWidth="1"/>
    <col min="118" max="119" width="8.00390625" style="3" customWidth="1"/>
    <col min="120" max="120" width="3.00390625" style="3" customWidth="1"/>
    <col min="121" max="122" width="8.00390625" style="3" customWidth="1"/>
    <col min="123" max="123" width="3.00390625" style="3" customWidth="1"/>
    <col min="124" max="124" width="8.00390625" style="3" customWidth="1"/>
    <col min="125" max="125" width="9.140625" style="3" customWidth="1"/>
    <col min="126" max="126" width="3.00390625" style="3" customWidth="1"/>
    <col min="127" max="128" width="9.140625" style="3" customWidth="1"/>
    <col min="129" max="129" width="3.00390625" style="3" customWidth="1"/>
    <col min="130" max="131" width="9.140625" style="3" customWidth="1"/>
    <col min="132" max="132" width="3.00390625" style="3" customWidth="1"/>
    <col min="133" max="134" width="9.140625" style="3" customWidth="1"/>
    <col min="135" max="135" width="3.00390625" style="3" customWidth="1"/>
    <col min="136" max="137" width="9.140625" style="3" customWidth="1"/>
    <col min="138" max="138" width="3.00390625" style="3" customWidth="1"/>
    <col min="139" max="140" width="9.140625" style="3" customWidth="1"/>
    <col min="141" max="141" width="3.00390625" style="3" customWidth="1"/>
    <col min="142" max="143" width="9.140625" style="3" customWidth="1"/>
    <col min="144" max="144" width="3.28125" style="3" customWidth="1"/>
    <col min="145" max="146" width="9.140625" style="3" customWidth="1"/>
    <col min="147" max="147" width="3.28125" style="3" customWidth="1"/>
    <col min="148" max="149" width="9.140625" style="3" customWidth="1"/>
    <col min="150" max="150" width="3.28125" style="3" customWidth="1"/>
    <col min="151" max="152" width="9.140625" style="3" customWidth="1"/>
    <col min="153" max="153" width="3.28125" style="3" customWidth="1"/>
    <col min="154" max="155" width="9.140625" style="3" customWidth="1"/>
    <col min="156" max="156" width="3.28125" style="3" customWidth="1"/>
    <col min="157" max="158" width="9.140625" style="3" customWidth="1"/>
    <col min="159" max="159" width="3.28125" style="3" customWidth="1"/>
    <col min="160" max="194" width="9.140625" style="3" customWidth="1"/>
    <col min="195" max="16384" width="9.140625" style="3" customWidth="1"/>
  </cols>
  <sheetData>
    <row r="1" ht="14.25" customHeight="1">
      <c r="CC1" s="267" t="s">
        <v>850</v>
      </c>
    </row>
    <row r="2" ht="15" customHeight="1">
      <c r="A2" s="3">
        <v>1</v>
      </c>
    </row>
    <row r="3" ht="30.75" customHeight="1">
      <c r="A3" s="3">
        <v>1</v>
      </c>
    </row>
    <row r="4" ht="30.75" customHeight="1">
      <c r="A4" s="3">
        <v>1</v>
      </c>
    </row>
    <row r="5" spans="1:79" ht="231.75" customHeight="1">
      <c r="A5" s="3">
        <v>1</v>
      </c>
      <c r="B5" s="679"/>
      <c r="C5" s="680"/>
      <c r="D5" s="680"/>
      <c r="E5" s="680"/>
      <c r="F5" s="680"/>
      <c r="G5" s="680"/>
      <c r="H5" s="680"/>
      <c r="I5" s="680"/>
      <c r="J5" s="680"/>
      <c r="K5" s="680"/>
      <c r="L5" s="680"/>
      <c r="M5" s="680"/>
      <c r="N5" s="680"/>
      <c r="O5" s="680"/>
      <c r="P5" s="680"/>
      <c r="Q5" s="680"/>
      <c r="R5" s="680"/>
      <c r="S5" s="680"/>
      <c r="T5" s="680"/>
      <c r="U5" s="680"/>
      <c r="V5" s="680"/>
      <c r="W5" s="680"/>
      <c r="X5" s="680"/>
      <c r="Y5" s="680"/>
      <c r="Z5" s="680"/>
      <c r="AA5" s="680"/>
      <c r="AB5" s="680"/>
      <c r="AC5" s="680"/>
      <c r="AD5" s="680"/>
      <c r="AE5" s="680"/>
      <c r="AF5" s="680"/>
      <c r="AG5" s="680"/>
      <c r="AH5" s="680"/>
      <c r="AI5" s="680"/>
      <c r="AJ5" s="680"/>
      <c r="AK5" s="680"/>
      <c r="AL5" s="680"/>
      <c r="AM5" s="680"/>
      <c r="AN5" s="680"/>
      <c r="AO5" s="680"/>
      <c r="AP5" s="680"/>
      <c r="AQ5" s="680"/>
      <c r="AR5" s="680"/>
      <c r="AS5" s="680"/>
      <c r="AT5" s="680"/>
      <c r="AU5" s="680"/>
      <c r="AV5" s="680"/>
      <c r="AW5" s="680"/>
      <c r="AX5" s="680"/>
      <c r="AY5" s="680"/>
      <c r="AZ5" s="680"/>
      <c r="BA5" s="680"/>
      <c r="BB5" s="680"/>
      <c r="BC5" s="680"/>
      <c r="BD5" s="680"/>
      <c r="BE5" s="680"/>
      <c r="BF5" s="680"/>
      <c r="BG5" s="680"/>
      <c r="BH5" s="680"/>
      <c r="BI5" s="680"/>
      <c r="BJ5" s="680"/>
      <c r="BK5" s="680"/>
      <c r="BL5" s="680"/>
      <c r="BM5" s="680"/>
      <c r="BN5" s="680"/>
      <c r="BO5" s="680"/>
      <c r="BP5" s="680"/>
      <c r="BQ5" s="680"/>
      <c r="BR5" s="680"/>
      <c r="BS5" s="680"/>
      <c r="BT5" s="680"/>
      <c r="BU5" s="680"/>
      <c r="BV5" s="680"/>
      <c r="BW5" s="680"/>
      <c r="BX5" s="680"/>
      <c r="BY5" s="680"/>
      <c r="BZ5" s="680"/>
      <c r="CA5" s="657"/>
    </row>
    <row r="6" spans="1:79" ht="39" customHeight="1">
      <c r="A6" s="3">
        <v>1</v>
      </c>
      <c r="B6" s="681" t="e">
        <f>"Sig. "&amp;#REF!&amp;", "&amp;#REF!&amp;" ("&amp;#REF!&amp;")"</f>
        <v>#REF!</v>
      </c>
      <c r="C6" s="682"/>
      <c r="D6" s="682"/>
      <c r="E6" s="682"/>
      <c r="F6" s="682"/>
      <c r="G6" s="682"/>
      <c r="H6" s="682"/>
      <c r="I6" s="682"/>
      <c r="J6" s="682"/>
      <c r="K6" s="682"/>
      <c r="L6" s="682"/>
      <c r="M6" s="682"/>
      <c r="N6" s="682"/>
      <c r="O6" s="682"/>
      <c r="P6" s="682"/>
      <c r="Q6" s="682"/>
      <c r="R6" s="682"/>
      <c r="S6" s="682"/>
      <c r="T6" s="682"/>
      <c r="U6" s="682"/>
      <c r="V6" s="682"/>
      <c r="W6" s="682"/>
      <c r="X6" s="682"/>
      <c r="Y6" s="682"/>
      <c r="Z6" s="682"/>
      <c r="AA6" s="682"/>
      <c r="AB6" s="682"/>
      <c r="AC6" s="682"/>
      <c r="AD6" s="682"/>
      <c r="AE6" s="682"/>
      <c r="AF6" s="682"/>
      <c r="AG6" s="682"/>
      <c r="AH6" s="682"/>
      <c r="AI6" s="682"/>
      <c r="AJ6" s="682"/>
      <c r="AK6" s="682"/>
      <c r="AL6" s="682"/>
      <c r="AM6" s="682"/>
      <c r="AN6" s="682"/>
      <c r="AO6" s="682"/>
      <c r="AP6" s="682"/>
      <c r="AQ6" s="682"/>
      <c r="AR6" s="682"/>
      <c r="AS6" s="682"/>
      <c r="AT6" s="682"/>
      <c r="AU6" s="682"/>
      <c r="AV6" s="682"/>
      <c r="AW6" s="682"/>
      <c r="AX6" s="682"/>
      <c r="AY6" s="682"/>
      <c r="AZ6" s="682"/>
      <c r="BA6" s="682"/>
      <c r="BB6" s="682"/>
      <c r="BC6" s="682"/>
      <c r="BD6" s="682"/>
      <c r="BE6" s="682"/>
      <c r="BF6" s="682"/>
      <c r="BG6" s="682"/>
      <c r="BH6" s="682"/>
      <c r="BI6" s="682"/>
      <c r="BJ6" s="682"/>
      <c r="BK6" s="682"/>
      <c r="BL6" s="682"/>
      <c r="BM6" s="682"/>
      <c r="BN6" s="682"/>
      <c r="BO6" s="682"/>
      <c r="BP6" s="682"/>
      <c r="BQ6" s="682"/>
      <c r="BR6" s="682"/>
      <c r="BS6" s="682"/>
      <c r="BT6" s="682"/>
      <c r="BU6" s="682"/>
      <c r="BV6" s="682"/>
      <c r="BW6" s="682"/>
      <c r="BX6" s="682"/>
      <c r="BY6" s="682"/>
      <c r="BZ6" s="682"/>
      <c r="CA6" s="683"/>
    </row>
    <row r="7" spans="1:79" ht="121.5" customHeight="1">
      <c r="A7" s="3">
        <v>1</v>
      </c>
      <c r="B7" s="684" t="s">
        <v>882</v>
      </c>
      <c r="C7" s="684"/>
      <c r="D7" s="684"/>
      <c r="E7" s="684"/>
      <c r="F7" s="684"/>
      <c r="G7" s="684"/>
      <c r="H7" s="684"/>
      <c r="I7" s="684"/>
      <c r="J7" s="684"/>
      <c r="K7" s="684"/>
      <c r="L7" s="684"/>
      <c r="M7" s="684"/>
      <c r="N7" s="684"/>
      <c r="O7" s="684"/>
      <c r="P7" s="684"/>
      <c r="Q7" s="684"/>
      <c r="R7" s="684"/>
      <c r="S7" s="684"/>
      <c r="T7" s="684"/>
      <c r="U7" s="684"/>
      <c r="V7" s="684"/>
      <c r="W7" s="684"/>
      <c r="X7" s="684"/>
      <c r="Y7" s="684"/>
      <c r="Z7" s="684"/>
      <c r="AA7" s="684"/>
      <c r="AB7" s="684"/>
      <c r="AC7" s="684"/>
      <c r="AD7" s="684"/>
      <c r="AE7" s="684"/>
      <c r="AF7" s="684"/>
      <c r="AG7" s="684"/>
      <c r="AH7" s="684"/>
      <c r="AI7" s="684"/>
      <c r="AJ7" s="684"/>
      <c r="AK7" s="684"/>
      <c r="AL7" s="684"/>
      <c r="AM7" s="684"/>
      <c r="AN7" s="684"/>
      <c r="AO7" s="684"/>
      <c r="AP7" s="684"/>
      <c r="AQ7" s="684"/>
      <c r="AR7" s="684"/>
      <c r="AS7" s="684"/>
      <c r="AT7" s="684"/>
      <c r="AU7" s="684"/>
      <c r="AV7" s="684"/>
      <c r="AW7" s="684"/>
      <c r="AX7" s="684"/>
      <c r="AY7" s="684"/>
      <c r="AZ7" s="684"/>
      <c r="BA7" s="684"/>
      <c r="BB7" s="684"/>
      <c r="BC7" s="684"/>
      <c r="BD7" s="684"/>
      <c r="BE7" s="684"/>
      <c r="BF7" s="684"/>
      <c r="BG7" s="684"/>
      <c r="BH7" s="684"/>
      <c r="BI7" s="684"/>
      <c r="BJ7" s="684"/>
      <c r="BK7" s="684"/>
      <c r="BL7" s="684"/>
      <c r="BM7" s="684"/>
      <c r="BN7" s="684"/>
      <c r="BO7" s="684"/>
      <c r="BP7" s="684"/>
      <c r="BQ7" s="684"/>
      <c r="BR7" s="684"/>
      <c r="BS7" s="684"/>
      <c r="BT7" s="684"/>
      <c r="BU7" s="684"/>
      <c r="BV7" s="684"/>
      <c r="BW7" s="684"/>
      <c r="BX7" s="684"/>
      <c r="BY7" s="684"/>
      <c r="BZ7" s="684"/>
      <c r="CA7" s="664"/>
    </row>
    <row r="8" ht="75" customHeight="1">
      <c r="A8" s="3">
        <v>1</v>
      </c>
    </row>
    <row r="9" ht="37.5" customHeight="1">
      <c r="A9" s="3">
        <v>1</v>
      </c>
    </row>
    <row r="10" ht="37.5" customHeight="1">
      <c r="A10" s="3">
        <v>1</v>
      </c>
    </row>
    <row r="11" ht="37.5" customHeight="1">
      <c r="A11" s="3">
        <v>1</v>
      </c>
    </row>
    <row r="12" spans="1:79" ht="45.75" customHeight="1">
      <c r="A12" s="3">
        <v>1</v>
      </c>
      <c r="B12" s="717" t="s">
        <v>898</v>
      </c>
      <c r="C12" s="718"/>
      <c r="D12" s="718"/>
      <c r="E12" s="718"/>
      <c r="F12" s="718"/>
      <c r="G12" s="718"/>
      <c r="H12" s="718"/>
      <c r="I12" s="718"/>
      <c r="J12" s="718"/>
      <c r="K12" s="718"/>
      <c r="L12" s="718"/>
      <c r="M12" s="718"/>
      <c r="N12" s="718"/>
      <c r="O12" s="718"/>
      <c r="P12" s="718"/>
      <c r="Q12" s="718"/>
      <c r="R12" s="718"/>
      <c r="S12" s="718"/>
      <c r="T12" s="718"/>
      <c r="U12" s="718"/>
      <c r="V12" s="718"/>
      <c r="W12" s="718"/>
      <c r="X12" s="718"/>
      <c r="Y12" s="718"/>
      <c r="Z12" s="718"/>
      <c r="AA12" s="718"/>
      <c r="AB12" s="718"/>
      <c r="AC12" s="718"/>
      <c r="AD12" s="718"/>
      <c r="AE12" s="718"/>
      <c r="AF12" s="718"/>
      <c r="AG12" s="718"/>
      <c r="AH12" s="718"/>
      <c r="AI12" s="718"/>
      <c r="AJ12" s="718"/>
      <c r="AK12" s="718"/>
      <c r="AL12" s="718"/>
      <c r="AM12" s="718"/>
      <c r="AN12" s="718"/>
      <c r="AO12" s="718"/>
      <c r="AP12" s="718"/>
      <c r="AQ12" s="718"/>
      <c r="AR12" s="718"/>
      <c r="AS12" s="718"/>
      <c r="AT12" s="718"/>
      <c r="AU12" s="718"/>
      <c r="AV12" s="718"/>
      <c r="AW12" s="718"/>
      <c r="AX12" s="718"/>
      <c r="AY12" s="718"/>
      <c r="AZ12" s="718"/>
      <c r="BA12" s="718"/>
      <c r="BB12" s="718"/>
      <c r="BC12" s="718"/>
      <c r="BD12" s="718"/>
      <c r="BE12" s="718"/>
      <c r="BF12" s="718"/>
      <c r="BG12" s="718"/>
      <c r="BH12" s="718"/>
      <c r="BI12" s="718"/>
      <c r="BJ12" s="718"/>
      <c r="BK12" s="718"/>
      <c r="BL12" s="718"/>
      <c r="BM12" s="718"/>
      <c r="BN12" s="718"/>
      <c r="BO12" s="718"/>
      <c r="BP12" s="718"/>
      <c r="BQ12" s="718"/>
      <c r="BR12" s="718"/>
      <c r="BS12" s="718"/>
      <c r="BT12" s="718"/>
      <c r="BU12" s="664"/>
      <c r="BV12" s="664"/>
      <c r="BW12" s="664"/>
      <c r="BX12" s="664"/>
      <c r="BY12" s="664"/>
      <c r="BZ12" s="664"/>
      <c r="CA12" s="664"/>
    </row>
    <row r="13" spans="1:85" ht="15" customHeight="1">
      <c r="A13" s="3">
        <v>1</v>
      </c>
      <c r="B13" s="169"/>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c r="BS13" s="170"/>
      <c r="BT13" s="170"/>
      <c r="CF13" s="261"/>
      <c r="CG13" s="278"/>
    </row>
    <row r="14" spans="1:85" ht="15.75" customHeight="1">
      <c r="A14" s="3">
        <v>1</v>
      </c>
      <c r="B14" s="712" t="s">
        <v>797</v>
      </c>
      <c r="C14" s="664"/>
      <c r="D14" s="664"/>
      <c r="E14" s="664"/>
      <c r="F14" s="664"/>
      <c r="G14" s="664"/>
      <c r="H14" s="664"/>
      <c r="I14" s="664"/>
      <c r="J14" s="664"/>
      <c r="K14" s="664"/>
      <c r="L14" s="664"/>
      <c r="M14" s="664"/>
      <c r="N14" s="664"/>
      <c r="O14" s="664"/>
      <c r="P14" s="664"/>
      <c r="Q14" s="664"/>
      <c r="R14" s="664"/>
      <c r="S14" s="664"/>
      <c r="T14" s="664"/>
      <c r="U14" s="664"/>
      <c r="V14" s="664"/>
      <c r="W14" s="664"/>
      <c r="X14" s="664"/>
      <c r="Y14" s="664"/>
      <c r="Z14" s="664"/>
      <c r="AA14" s="664"/>
      <c r="AB14" s="664"/>
      <c r="AC14" s="664"/>
      <c r="AD14" s="664"/>
      <c r="AE14" s="664"/>
      <c r="AF14" s="664"/>
      <c r="AG14" s="664"/>
      <c r="AH14" s="664"/>
      <c r="AI14" s="664"/>
      <c r="AJ14" s="664"/>
      <c r="AK14" s="664"/>
      <c r="AL14" s="664"/>
      <c r="AM14" s="664"/>
      <c r="AN14" s="664"/>
      <c r="AO14" s="664"/>
      <c r="AP14" s="664"/>
      <c r="AQ14" s="664"/>
      <c r="AR14" s="664"/>
      <c r="AS14" s="664"/>
      <c r="AT14" s="664"/>
      <c r="AU14" s="664"/>
      <c r="AV14" s="664"/>
      <c r="AW14" s="664"/>
      <c r="AX14" s="664"/>
      <c r="AY14" s="664"/>
      <c r="AZ14" s="664"/>
      <c r="BA14" s="664"/>
      <c r="BB14" s="664"/>
      <c r="BC14" s="664"/>
      <c r="BD14" s="664"/>
      <c r="BE14" s="664"/>
      <c r="BF14" s="664"/>
      <c r="BG14" s="664"/>
      <c r="BH14" s="664"/>
      <c r="BI14" s="664"/>
      <c r="BJ14" s="664"/>
      <c r="BK14" s="664"/>
      <c r="BL14" s="664"/>
      <c r="BM14" s="664"/>
      <c r="BN14" s="664"/>
      <c r="BO14" s="664"/>
      <c r="BP14" s="664"/>
      <c r="BQ14" s="664"/>
      <c r="BR14" s="664"/>
      <c r="BS14" s="664"/>
      <c r="BT14" s="664"/>
      <c r="BU14" s="664"/>
      <c r="BV14" s="664"/>
      <c r="BW14" s="664"/>
      <c r="BX14" s="664"/>
      <c r="BY14" s="664"/>
      <c r="BZ14" s="664"/>
      <c r="CA14" s="664"/>
      <c r="CB14" s="8"/>
      <c r="CF14" s="261"/>
      <c r="CG14" s="278"/>
    </row>
    <row r="15" spans="1:85" ht="204" customHeight="1">
      <c r="A15" s="3">
        <v>1</v>
      </c>
      <c r="B15" s="714" t="s">
        <v>798</v>
      </c>
      <c r="C15" s="714"/>
      <c r="D15" s="714"/>
      <c r="E15" s="714"/>
      <c r="F15" s="714"/>
      <c r="G15" s="714"/>
      <c r="H15" s="714"/>
      <c r="I15" s="714"/>
      <c r="J15" s="714"/>
      <c r="K15" s="714"/>
      <c r="L15" s="714"/>
      <c r="M15" s="714"/>
      <c r="N15" s="714"/>
      <c r="O15" s="714"/>
      <c r="P15" s="714"/>
      <c r="Q15" s="714"/>
      <c r="R15" s="656"/>
      <c r="S15" s="656"/>
      <c r="T15" s="656"/>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8"/>
      <c r="AY15" s="258"/>
      <c r="AZ15" s="258"/>
      <c r="BA15" s="258"/>
      <c r="BB15" s="258"/>
      <c r="BC15" s="258"/>
      <c r="BD15" s="258"/>
      <c r="BE15" s="258"/>
      <c r="BF15" s="258"/>
      <c r="BG15" s="258"/>
      <c r="BH15" s="258"/>
      <c r="BI15" s="258"/>
      <c r="BJ15" s="258"/>
      <c r="BK15" s="258"/>
      <c r="BL15" s="258"/>
      <c r="BM15" s="258"/>
      <c r="BN15" s="258"/>
      <c r="BO15" s="258"/>
      <c r="BP15" s="258"/>
      <c r="BQ15" s="258"/>
      <c r="BR15" s="258"/>
      <c r="BS15" s="258"/>
      <c r="BT15" s="258"/>
      <c r="CF15" s="261"/>
      <c r="CG15" s="278"/>
    </row>
    <row r="16" spans="1:85" ht="15" customHeight="1">
      <c r="A16" s="3">
        <v>1</v>
      </c>
      <c r="B16" s="259"/>
      <c r="C16" s="259"/>
      <c r="D16" s="259"/>
      <c r="E16" s="259"/>
      <c r="F16" s="259"/>
      <c r="G16" s="259"/>
      <c r="H16" s="259"/>
      <c r="I16" s="259"/>
      <c r="J16" s="259"/>
      <c r="K16" s="259"/>
      <c r="L16" s="259"/>
      <c r="M16" s="259"/>
      <c r="N16" s="259"/>
      <c r="O16" s="259"/>
      <c r="P16" s="259"/>
      <c r="Q16" s="259"/>
      <c r="R16" s="279"/>
      <c r="S16" s="279"/>
      <c r="T16" s="279"/>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258"/>
      <c r="BE16" s="258"/>
      <c r="BF16" s="258"/>
      <c r="BG16" s="258"/>
      <c r="BH16" s="258"/>
      <c r="BI16" s="258"/>
      <c r="BJ16" s="258"/>
      <c r="BK16" s="258"/>
      <c r="BL16" s="258"/>
      <c r="BM16" s="258"/>
      <c r="BN16" s="258"/>
      <c r="BO16" s="258"/>
      <c r="BP16" s="258"/>
      <c r="BQ16" s="258"/>
      <c r="BR16" s="258"/>
      <c r="BS16" s="258"/>
      <c r="BT16" s="258"/>
      <c r="CF16" s="261"/>
      <c r="CG16" s="278"/>
    </row>
    <row r="17" spans="1:82" ht="16.5" customHeight="1">
      <c r="A17" s="3">
        <v>1</v>
      </c>
      <c r="B17" s="713" t="s">
        <v>799</v>
      </c>
      <c r="C17" s="664"/>
      <c r="D17" s="664"/>
      <c r="E17" s="664"/>
      <c r="F17" s="664"/>
      <c r="G17" s="664"/>
      <c r="H17" s="664"/>
      <c r="I17" s="664"/>
      <c r="J17" s="664"/>
      <c r="K17" s="664"/>
      <c r="L17" s="664"/>
      <c r="M17" s="664"/>
      <c r="N17" s="664"/>
      <c r="O17" s="664"/>
      <c r="P17" s="664"/>
      <c r="Q17" s="664"/>
      <c r="R17" s="664"/>
      <c r="S17" s="664"/>
      <c r="T17" s="664"/>
      <c r="U17" s="664"/>
      <c r="V17" s="664"/>
      <c r="W17" s="664"/>
      <c r="X17" s="664"/>
      <c r="Y17" s="664"/>
      <c r="Z17" s="664"/>
      <c r="AA17" s="664"/>
      <c r="AB17" s="664"/>
      <c r="AC17" s="664"/>
      <c r="AD17" s="664"/>
      <c r="AE17" s="664"/>
      <c r="AF17" s="664"/>
      <c r="AG17" s="664"/>
      <c r="AH17" s="664"/>
      <c r="AI17" s="664"/>
      <c r="AJ17" s="664"/>
      <c r="AK17" s="664"/>
      <c r="AL17" s="664"/>
      <c r="AM17" s="664"/>
      <c r="AN17" s="664"/>
      <c r="AO17" s="664"/>
      <c r="AP17" s="664"/>
      <c r="AQ17" s="664"/>
      <c r="AR17" s="664"/>
      <c r="AS17" s="664"/>
      <c r="AT17" s="664"/>
      <c r="AU17" s="664"/>
      <c r="AV17" s="664"/>
      <c r="AW17" s="664"/>
      <c r="AX17" s="664"/>
      <c r="AY17" s="664"/>
      <c r="AZ17" s="664"/>
      <c r="BA17" s="664"/>
      <c r="BB17" s="664"/>
      <c r="BC17" s="664"/>
      <c r="BD17" s="664"/>
      <c r="BE17" s="664"/>
      <c r="BF17" s="664"/>
      <c r="BG17" s="664"/>
      <c r="BH17" s="664"/>
      <c r="BI17" s="664"/>
      <c r="BJ17" s="664"/>
      <c r="BK17" s="664"/>
      <c r="BL17" s="664"/>
      <c r="BM17" s="664"/>
      <c r="BN17" s="664"/>
      <c r="BO17" s="664"/>
      <c r="BP17" s="664"/>
      <c r="BQ17" s="664"/>
      <c r="BR17" s="664"/>
      <c r="BS17" s="664"/>
      <c r="BT17" s="664"/>
      <c r="BU17" s="664"/>
      <c r="BV17" s="664"/>
      <c r="BW17" s="664"/>
      <c r="BX17" s="664"/>
      <c r="BY17" s="664"/>
      <c r="BZ17" s="664"/>
      <c r="CA17" s="664"/>
      <c r="CD17" s="260"/>
    </row>
    <row r="18" spans="1:3" ht="16.5" customHeight="1">
      <c r="A18" s="3">
        <v>1</v>
      </c>
      <c r="B18" s="267"/>
      <c r="C18" s="3" t="e">
        <f>" "&amp;#REF!&amp;" "&amp;#REF!&amp;"   Edificio sito in "&amp;#REF!&amp;", "&amp;#REF!&amp;" - "&amp;#REF!&amp;" - "&amp;#REF!&amp;" ("&amp;#REF!&amp;")"</f>
        <v>#REF!</v>
      </c>
    </row>
    <row r="19" spans="1:49" ht="16.5" customHeight="1">
      <c r="A19" s="3">
        <v>1</v>
      </c>
      <c r="I19" s="261" t="s">
        <v>752</v>
      </c>
      <c r="J19" s="3" t="e">
        <f>#REF!</f>
        <v>#REF!</v>
      </c>
      <c r="U19" s="3" t="s">
        <v>750</v>
      </c>
      <c r="AB19" s="3" t="e">
        <f>#REF!</f>
        <v>#REF!</v>
      </c>
      <c r="AV19" s="261" t="s">
        <v>751</v>
      </c>
      <c r="AW19" s="3" t="e">
        <f>#REF!</f>
        <v>#REF!</v>
      </c>
    </row>
    <row r="20" spans="1:48" ht="16.5" customHeight="1">
      <c r="A20" s="3">
        <v>1</v>
      </c>
      <c r="I20" s="261"/>
      <c r="AV20" s="261"/>
    </row>
    <row r="21" spans="1:87" ht="18.75" customHeight="1">
      <c r="A21" s="3">
        <v>1</v>
      </c>
      <c r="B21" s="713" t="s">
        <v>759</v>
      </c>
      <c r="C21" s="664"/>
      <c r="D21" s="664"/>
      <c r="E21" s="664"/>
      <c r="F21" s="664"/>
      <c r="G21" s="664"/>
      <c r="H21" s="664"/>
      <c r="I21" s="664"/>
      <c r="J21" s="664"/>
      <c r="K21" s="664"/>
      <c r="L21" s="664"/>
      <c r="M21" s="664"/>
      <c r="N21" s="664"/>
      <c r="O21" s="664"/>
      <c r="P21" s="664"/>
      <c r="Q21" s="664"/>
      <c r="R21" s="664"/>
      <c r="S21" s="664"/>
      <c r="T21" s="664"/>
      <c r="U21" s="664"/>
      <c r="V21" s="664"/>
      <c r="W21" s="664"/>
      <c r="X21" s="664"/>
      <c r="Y21" s="664"/>
      <c r="Z21" s="664"/>
      <c r="AA21" s="664"/>
      <c r="AB21" s="664"/>
      <c r="AC21" s="664"/>
      <c r="AD21" s="664"/>
      <c r="AE21" s="664"/>
      <c r="AF21" s="664"/>
      <c r="AG21" s="664"/>
      <c r="AH21" s="664"/>
      <c r="AI21" s="664"/>
      <c r="AJ21" s="664"/>
      <c r="AK21" s="664"/>
      <c r="AL21" s="664"/>
      <c r="AM21" s="664"/>
      <c r="AN21" s="664"/>
      <c r="AO21" s="664"/>
      <c r="AP21" s="664"/>
      <c r="AQ21" s="664"/>
      <c r="AR21" s="664"/>
      <c r="AS21" s="664"/>
      <c r="AT21" s="664"/>
      <c r="AU21" s="664"/>
      <c r="AV21" s="664"/>
      <c r="AW21" s="664"/>
      <c r="AX21" s="664"/>
      <c r="AY21" s="664"/>
      <c r="AZ21" s="664"/>
      <c r="BA21" s="664"/>
      <c r="BB21" s="664"/>
      <c r="BC21" s="664"/>
      <c r="BD21" s="664"/>
      <c r="BE21" s="664"/>
      <c r="BF21" s="664"/>
      <c r="BG21" s="664"/>
      <c r="BH21" s="664"/>
      <c r="BI21" s="664"/>
      <c r="BJ21" s="664"/>
      <c r="BK21" s="664"/>
      <c r="BL21" s="664"/>
      <c r="BM21" s="664"/>
      <c r="BN21" s="664"/>
      <c r="BO21" s="664"/>
      <c r="BP21" s="664"/>
      <c r="BQ21" s="664"/>
      <c r="BR21" s="664"/>
      <c r="BS21" s="664"/>
      <c r="BT21" s="664"/>
      <c r="BU21" s="664"/>
      <c r="BV21" s="664"/>
      <c r="BW21" s="664"/>
      <c r="BX21" s="664"/>
      <c r="BY21" s="664"/>
      <c r="BZ21" s="664"/>
      <c r="CA21" s="664"/>
      <c r="CE21" s="280" t="s">
        <v>864</v>
      </c>
      <c r="CG21" s="3" t="e">
        <f>IF(#REF!=1,CI21,CH21)</f>
        <v>#REF!</v>
      </c>
      <c r="CH21" s="3" t="s">
        <v>761</v>
      </c>
      <c r="CI21" s="3" t="s">
        <v>760</v>
      </c>
    </row>
    <row r="22" spans="1:85" ht="16.5" customHeight="1">
      <c r="A22" s="3">
        <v>1</v>
      </c>
      <c r="B22" s="267" t="s">
        <v>759</v>
      </c>
      <c r="U22" s="689" t="e">
        <f>"disposta su "&amp;#REF!&amp;" "&amp;CG21&amp;" per una superficie riscaldata totale di "&amp;#REF!&amp;" m2"</f>
        <v>#REF!</v>
      </c>
      <c r="V22" s="664"/>
      <c r="W22" s="664"/>
      <c r="X22" s="664"/>
      <c r="Y22" s="664"/>
      <c r="Z22" s="664"/>
      <c r="AA22" s="664"/>
      <c r="AB22" s="664"/>
      <c r="AC22" s="664"/>
      <c r="AD22" s="664"/>
      <c r="AE22" s="664"/>
      <c r="AF22" s="664"/>
      <c r="AG22" s="664"/>
      <c r="AH22" s="664"/>
      <c r="AI22" s="664"/>
      <c r="AJ22" s="664"/>
      <c r="AK22" s="664"/>
      <c r="AL22" s="664"/>
      <c r="AM22" s="664"/>
      <c r="AN22" s="664"/>
      <c r="AO22" s="664"/>
      <c r="AP22" s="664"/>
      <c r="AQ22" s="664"/>
      <c r="AR22" s="664"/>
      <c r="AS22" s="664"/>
      <c r="AT22" s="664"/>
      <c r="AU22" s="664"/>
      <c r="AV22" s="664"/>
      <c r="AW22" s="664"/>
      <c r="AX22" s="664"/>
      <c r="AY22" s="664"/>
      <c r="AZ22" s="664"/>
      <c r="BA22" s="664"/>
      <c r="BB22" s="664"/>
      <c r="BC22" s="664"/>
      <c r="BD22" s="664"/>
      <c r="BE22" s="664"/>
      <c r="BF22" s="664"/>
      <c r="BG22" s="664"/>
      <c r="BH22" s="664"/>
      <c r="BI22" s="664"/>
      <c r="BJ22" s="664"/>
      <c r="BK22" s="664"/>
      <c r="BL22" s="664"/>
      <c r="BM22" s="664"/>
      <c r="BN22" s="664"/>
      <c r="BO22" s="664"/>
      <c r="BP22" s="664"/>
      <c r="BQ22" s="664"/>
      <c r="BR22" s="664"/>
      <c r="BS22" s="664"/>
      <c r="BT22" s="664"/>
      <c r="BU22" s="664"/>
      <c r="BV22" s="664"/>
      <c r="BW22" s="664"/>
      <c r="BX22" s="664"/>
      <c r="BY22" s="664"/>
      <c r="BZ22" s="664"/>
      <c r="CA22" s="664"/>
      <c r="CD22" s="178"/>
      <c r="CE22" s="178"/>
      <c r="CF22" s="178"/>
      <c r="CG22" s="178"/>
    </row>
    <row r="23" spans="1:85" ht="16.5" customHeight="1">
      <c r="A23" s="3">
        <v>1</v>
      </c>
      <c r="B23" s="689" t="str">
        <f>"Impianto di riscaldamento a "&amp;Simulatore!AX8&amp;", sistema radiante "&amp;Simulatore!AO6&amp;""</f>
        <v>Impianto di riscaldamento a Metano, sistema radiante a termosifoni</v>
      </c>
      <c r="C23" s="664"/>
      <c r="D23" s="664"/>
      <c r="E23" s="664"/>
      <c r="F23" s="664"/>
      <c r="G23" s="664"/>
      <c r="H23" s="664"/>
      <c r="I23" s="664"/>
      <c r="J23" s="664"/>
      <c r="K23" s="664"/>
      <c r="L23" s="664"/>
      <c r="M23" s="664"/>
      <c r="N23" s="664"/>
      <c r="O23" s="664"/>
      <c r="P23" s="664"/>
      <c r="Q23" s="664"/>
      <c r="R23" s="664"/>
      <c r="S23" s="664"/>
      <c r="T23" s="664"/>
      <c r="U23" s="664"/>
      <c r="V23" s="664"/>
      <c r="W23" s="664"/>
      <c r="X23" s="664"/>
      <c r="Y23" s="664"/>
      <c r="Z23" s="664"/>
      <c r="AA23" s="664"/>
      <c r="AB23" s="664"/>
      <c r="AC23" s="664"/>
      <c r="AD23" s="664"/>
      <c r="AE23" s="664"/>
      <c r="AF23" s="664"/>
      <c r="AG23" s="664"/>
      <c r="AH23" s="664"/>
      <c r="AI23" s="664"/>
      <c r="AJ23" s="664"/>
      <c r="AK23" s="664"/>
      <c r="AL23" s="664"/>
      <c r="AM23" s="664"/>
      <c r="AN23" s="664"/>
      <c r="AO23" s="664"/>
      <c r="AP23" s="664"/>
      <c r="AQ23" s="664"/>
      <c r="AR23" s="664"/>
      <c r="AS23" s="664"/>
      <c r="AT23" s="664"/>
      <c r="AU23" s="664"/>
      <c r="AV23" s="664"/>
      <c r="AW23" s="664"/>
      <c r="AX23" s="664"/>
      <c r="AY23" s="664"/>
      <c r="AZ23" s="664"/>
      <c r="BA23" s="664"/>
      <c r="BB23" s="664"/>
      <c r="BC23" s="664"/>
      <c r="BD23" s="664"/>
      <c r="BE23" s="664"/>
      <c r="BF23" s="664"/>
      <c r="BG23" s="664"/>
      <c r="BH23" s="664"/>
      <c r="BI23" s="664"/>
      <c r="BJ23" s="664"/>
      <c r="BK23" s="664"/>
      <c r="BL23" s="664"/>
      <c r="BM23" s="664"/>
      <c r="BN23" s="664"/>
      <c r="BO23" s="664"/>
      <c r="BP23" s="664"/>
      <c r="BQ23" s="664"/>
      <c r="BR23" s="664"/>
      <c r="BS23" s="664"/>
      <c r="BT23" s="664"/>
      <c r="BU23" s="664"/>
      <c r="BV23" s="664"/>
      <c r="BW23" s="664"/>
      <c r="BX23" s="664"/>
      <c r="BY23" s="664"/>
      <c r="BZ23" s="664"/>
      <c r="CA23" s="664"/>
      <c r="CD23" s="176">
        <v>2</v>
      </c>
      <c r="CE23" s="178" t="s">
        <v>767</v>
      </c>
      <c r="CF23" s="171">
        <f>VLOOKUP(CD23,$CD$24:$CF$26,3,)</f>
        <v>1</v>
      </c>
      <c r="CG23" s="178"/>
    </row>
    <row r="24" spans="1:85" ht="16.5" customHeight="1">
      <c r="A24" s="3">
        <v>1</v>
      </c>
      <c r="B24" s="267" t="s">
        <v>770</v>
      </c>
      <c r="N24" s="719">
        <f>IF($CF$23=1,Riqualificazione!O10,$CE$23)</f>
        <v>3</v>
      </c>
      <c r="O24" s="719"/>
      <c r="P24" s="719"/>
      <c r="Q24" s="719"/>
      <c r="R24" s="719"/>
      <c r="AC24" s="3" t="s">
        <v>766</v>
      </c>
      <c r="AP24" s="3" t="s">
        <v>660</v>
      </c>
      <c r="AY24" s="3" t="s">
        <v>661</v>
      </c>
      <c r="BG24" s="267"/>
      <c r="BH24" s="3" t="s">
        <v>662</v>
      </c>
      <c r="BI24" s="267"/>
      <c r="BJ24" s="267"/>
      <c r="BK24" s="267"/>
      <c r="BL24" s="267"/>
      <c r="BM24" s="267"/>
      <c r="BN24" s="267"/>
      <c r="BS24" s="267" t="s">
        <v>27</v>
      </c>
      <c r="CD24" s="178"/>
      <c r="CE24" s="177" t="s">
        <v>862</v>
      </c>
      <c r="CF24" s="178"/>
      <c r="CG24" s="178"/>
    </row>
    <row r="25" spans="1:85" ht="16.5" customHeight="1">
      <c r="A25" s="3">
        <v>1</v>
      </c>
      <c r="B25" s="663" t="s">
        <v>866</v>
      </c>
      <c r="C25" s="664"/>
      <c r="D25" s="664"/>
      <c r="E25" s="664"/>
      <c r="F25" s="664"/>
      <c r="G25" s="664"/>
      <c r="H25" s="664"/>
      <c r="I25" s="664"/>
      <c r="J25" s="664"/>
      <c r="K25" s="664"/>
      <c r="L25" s="664"/>
      <c r="M25" s="664"/>
      <c r="N25" s="664"/>
      <c r="O25" s="664"/>
      <c r="P25" s="664"/>
      <c r="Q25" s="664"/>
      <c r="R25" s="664"/>
      <c r="S25" s="664"/>
      <c r="T25" s="664"/>
      <c r="U25" s="664"/>
      <c r="V25" s="664"/>
      <c r="W25" s="664"/>
      <c r="X25" s="658" t="s">
        <v>884</v>
      </c>
      <c r="Y25" s="658"/>
      <c r="Z25" s="658"/>
      <c r="AA25" s="658"/>
      <c r="AB25" s="715">
        <f>IF($CF$23=1,Riqualificazione!C15,$CE$23)</f>
        <v>42</v>
      </c>
      <c r="AC25" s="664"/>
      <c r="AD25" s="664"/>
      <c r="AE25" s="664"/>
      <c r="AF25" s="664"/>
      <c r="AG25" s="664"/>
      <c r="AH25" s="664"/>
      <c r="AI25" s="664"/>
      <c r="AJ25" s="664"/>
      <c r="AK25" s="664"/>
      <c r="AL25" s="715">
        <f>IF($CF$23=1,Riqualificazione!D15,$CE$23)</f>
        <v>70</v>
      </c>
      <c r="AM25" s="664"/>
      <c r="AN25" s="664"/>
      <c r="AO25" s="664"/>
      <c r="AP25" s="664"/>
      <c r="AQ25" s="664"/>
      <c r="AR25" s="664"/>
      <c r="AS25" s="664"/>
      <c r="AT25" s="664"/>
      <c r="AU25" s="664"/>
      <c r="AV25" s="715">
        <f>IF($CF$23=1,Riqualificazione!E15,$CE$23)</f>
        <v>42</v>
      </c>
      <c r="AW25" s="662"/>
      <c r="AX25" s="662"/>
      <c r="AY25" s="662"/>
      <c r="AZ25" s="662"/>
      <c r="BA25" s="662"/>
      <c r="BB25" s="662"/>
      <c r="BC25" s="662"/>
      <c r="BD25" s="662"/>
      <c r="BE25" s="662"/>
      <c r="BF25" s="715">
        <f>IF($CF$23=1,Riqualificazione!G6,$CE$23)</f>
        <v>0</v>
      </c>
      <c r="BG25" s="664"/>
      <c r="BH25" s="664"/>
      <c r="BI25" s="664"/>
      <c r="BJ25" s="664"/>
      <c r="BK25" s="664"/>
      <c r="BL25" s="664"/>
      <c r="BM25" s="664"/>
      <c r="BN25" s="664"/>
      <c r="BO25" s="664"/>
      <c r="BP25" s="716">
        <f>IF($CF$23=1,CA25,$CE$23)</f>
        <v>154</v>
      </c>
      <c r="BQ25" s="664"/>
      <c r="BR25" s="664"/>
      <c r="BS25" s="664"/>
      <c r="BT25" s="664"/>
      <c r="BU25" s="664"/>
      <c r="BV25" s="664"/>
      <c r="BW25" s="664"/>
      <c r="BX25" s="664"/>
      <c r="BY25" s="664"/>
      <c r="BZ25" s="664"/>
      <c r="CA25" s="264">
        <f>AB25+AL25+AV25+BF25</f>
        <v>154</v>
      </c>
      <c r="CD25" s="176">
        <v>1</v>
      </c>
      <c r="CE25" s="176" t="s">
        <v>860</v>
      </c>
      <c r="CF25" s="176">
        <v>0</v>
      </c>
      <c r="CG25" s="178"/>
    </row>
    <row r="26" spans="1:85" ht="16.5" customHeight="1">
      <c r="A26" s="3">
        <v>1</v>
      </c>
      <c r="B26" s="663" t="s">
        <v>867</v>
      </c>
      <c r="C26" s="664"/>
      <c r="D26" s="664"/>
      <c r="E26" s="664"/>
      <c r="F26" s="664"/>
      <c r="G26" s="664"/>
      <c r="H26" s="664"/>
      <c r="I26" s="664"/>
      <c r="J26" s="664"/>
      <c r="K26" s="664"/>
      <c r="L26" s="664"/>
      <c r="M26" s="664"/>
      <c r="N26" s="664"/>
      <c r="O26" s="664"/>
      <c r="P26" s="664"/>
      <c r="Q26" s="664"/>
      <c r="R26" s="664"/>
      <c r="S26" s="664"/>
      <c r="T26" s="664"/>
      <c r="U26" s="664"/>
      <c r="V26" s="664"/>
      <c r="W26" s="664"/>
      <c r="X26" s="658" t="s">
        <v>884</v>
      </c>
      <c r="Y26" s="658"/>
      <c r="Z26" s="658"/>
      <c r="AA26" s="658"/>
      <c r="AB26" s="715">
        <f>IF($CF$23=1,Riqualificazione!C16,$CE$23)</f>
        <v>32.25</v>
      </c>
      <c r="AC26" s="664"/>
      <c r="AD26" s="664"/>
      <c r="AE26" s="664"/>
      <c r="AF26" s="664"/>
      <c r="AG26" s="664"/>
      <c r="AH26" s="664"/>
      <c r="AI26" s="664"/>
      <c r="AJ26" s="664"/>
      <c r="AK26" s="664"/>
      <c r="AL26" s="715">
        <f>IF($CF$23=1,Riqualificazione!D16,$CE$23)</f>
        <v>56.3</v>
      </c>
      <c r="AM26" s="664"/>
      <c r="AN26" s="664"/>
      <c r="AO26" s="664"/>
      <c r="AP26" s="664"/>
      <c r="AQ26" s="664"/>
      <c r="AR26" s="664"/>
      <c r="AS26" s="664"/>
      <c r="AT26" s="664"/>
      <c r="AU26" s="664"/>
      <c r="AV26" s="715">
        <f>IF($CF$23=1,Riqualificazione!E16,$CE$23)</f>
        <v>24.349999999999998</v>
      </c>
      <c r="AW26" s="662"/>
      <c r="AX26" s="662"/>
      <c r="AY26" s="662"/>
      <c r="AZ26" s="662"/>
      <c r="BA26" s="662"/>
      <c r="BB26" s="662"/>
      <c r="BC26" s="662"/>
      <c r="BD26" s="662"/>
      <c r="BE26" s="662"/>
      <c r="BF26" s="715">
        <f>IF($CF$23=1,Riqualificazione!G7,$CE$23)</f>
        <v>0</v>
      </c>
      <c r="BG26" s="664"/>
      <c r="BH26" s="664"/>
      <c r="BI26" s="664"/>
      <c r="BJ26" s="664"/>
      <c r="BK26" s="664"/>
      <c r="BL26" s="664"/>
      <c r="BM26" s="664"/>
      <c r="BN26" s="664"/>
      <c r="BO26" s="664"/>
      <c r="BP26" s="716">
        <f>IF($CF$23=1,CA26,$CE$23)</f>
        <v>112.89999999999999</v>
      </c>
      <c r="BQ26" s="664"/>
      <c r="BR26" s="664"/>
      <c r="BS26" s="664"/>
      <c r="BT26" s="664"/>
      <c r="BU26" s="664"/>
      <c r="BV26" s="664"/>
      <c r="BW26" s="664"/>
      <c r="BX26" s="664"/>
      <c r="BY26" s="664"/>
      <c r="BZ26" s="664"/>
      <c r="CA26" s="264">
        <f>AB26+AL26+AV26+BF26</f>
        <v>112.89999999999999</v>
      </c>
      <c r="CD26" s="176">
        <v>2</v>
      </c>
      <c r="CE26" s="176" t="s">
        <v>861</v>
      </c>
      <c r="CF26" s="176">
        <v>1</v>
      </c>
      <c r="CG26" s="178"/>
    </row>
    <row r="27" spans="1:92" ht="16.5" customHeight="1">
      <c r="A27" s="3">
        <v>1</v>
      </c>
      <c r="B27" s="663" t="s">
        <v>868</v>
      </c>
      <c r="C27" s="663"/>
      <c r="D27" s="663"/>
      <c r="E27" s="663"/>
      <c r="F27" s="663"/>
      <c r="G27" s="663"/>
      <c r="H27" s="663"/>
      <c r="I27" s="663"/>
      <c r="J27" s="663"/>
      <c r="K27" s="663"/>
      <c r="L27" s="663"/>
      <c r="M27" s="663"/>
      <c r="N27" s="663"/>
      <c r="O27" s="663"/>
      <c r="P27" s="663"/>
      <c r="Q27" s="663"/>
      <c r="R27" s="663"/>
      <c r="S27" s="663"/>
      <c r="T27" s="663"/>
      <c r="U27" s="663"/>
      <c r="V27" s="663"/>
      <c r="W27" s="663"/>
      <c r="X27" s="658" t="s">
        <v>884</v>
      </c>
      <c r="Y27" s="658"/>
      <c r="Z27" s="658"/>
      <c r="AA27" s="658"/>
      <c r="AB27" s="715">
        <f>IF($CF$23=1,Riqualificazione!C17,$CE$23)</f>
        <v>9.75</v>
      </c>
      <c r="AC27" s="664"/>
      <c r="AD27" s="664"/>
      <c r="AE27" s="664"/>
      <c r="AF27" s="664"/>
      <c r="AG27" s="664"/>
      <c r="AH27" s="664"/>
      <c r="AI27" s="664"/>
      <c r="AJ27" s="664"/>
      <c r="AK27" s="664"/>
      <c r="AL27" s="715">
        <f>IF($CF$23=1,Riqualificazione!D17,$CE$23)</f>
        <v>11.700000000000001</v>
      </c>
      <c r="AM27" s="664"/>
      <c r="AN27" s="664"/>
      <c r="AO27" s="664"/>
      <c r="AP27" s="664"/>
      <c r="AQ27" s="664"/>
      <c r="AR27" s="664"/>
      <c r="AS27" s="664"/>
      <c r="AT27" s="664"/>
      <c r="AU27" s="664"/>
      <c r="AV27" s="715">
        <f>IF($CF$23=1,Riqualificazione!E17,$CE$23)</f>
        <v>13.650000000000002</v>
      </c>
      <c r="AW27" s="662"/>
      <c r="AX27" s="662"/>
      <c r="AY27" s="662"/>
      <c r="AZ27" s="662"/>
      <c r="BA27" s="662"/>
      <c r="BB27" s="662"/>
      <c r="BC27" s="662"/>
      <c r="BD27" s="662"/>
      <c r="BE27" s="662"/>
      <c r="BF27" s="715">
        <f>IF($CF$23=1,Riqualificazione!G8,$CE$23)</f>
        <v>0</v>
      </c>
      <c r="BG27" s="664"/>
      <c r="BH27" s="664"/>
      <c r="BI27" s="664"/>
      <c r="BJ27" s="664"/>
      <c r="BK27" s="664"/>
      <c r="BL27" s="664"/>
      <c r="BM27" s="664"/>
      <c r="BN27" s="664"/>
      <c r="BO27" s="664"/>
      <c r="BP27" s="716">
        <f>IF($CF$23=1,CA27,$CE$23)</f>
        <v>35.10000000000001</v>
      </c>
      <c r="BQ27" s="664"/>
      <c r="BR27" s="664"/>
      <c r="BS27" s="664"/>
      <c r="BT27" s="664"/>
      <c r="BU27" s="664"/>
      <c r="BV27" s="664"/>
      <c r="BW27" s="664"/>
      <c r="BX27" s="664"/>
      <c r="BY27" s="664"/>
      <c r="BZ27" s="664"/>
      <c r="CA27" s="264">
        <f>AB27+AL27+AV27+BF27</f>
        <v>35.10000000000001</v>
      </c>
      <c r="CD27" s="178"/>
      <c r="CE27" s="178"/>
      <c r="CF27" s="178"/>
      <c r="CG27" s="178"/>
      <c r="CN27" s="281"/>
    </row>
    <row r="28" spans="1:83" ht="16.5" customHeight="1">
      <c r="A28" s="3">
        <v>1</v>
      </c>
      <c r="B28" s="663" t="s">
        <v>869</v>
      </c>
      <c r="C28" s="663"/>
      <c r="D28" s="663"/>
      <c r="E28" s="663"/>
      <c r="F28" s="663"/>
      <c r="G28" s="663"/>
      <c r="H28" s="663"/>
      <c r="I28" s="663"/>
      <c r="J28" s="663"/>
      <c r="K28" s="663"/>
      <c r="L28" s="663"/>
      <c r="M28" s="663"/>
      <c r="N28" s="663"/>
      <c r="O28" s="663"/>
      <c r="P28" s="663"/>
      <c r="Q28" s="663"/>
      <c r="R28" s="663"/>
      <c r="S28" s="663"/>
      <c r="T28" s="663"/>
      <c r="U28" s="663"/>
      <c r="V28" s="663"/>
      <c r="W28" s="663"/>
      <c r="X28" s="658" t="s">
        <v>884</v>
      </c>
      <c r="Y28" s="658"/>
      <c r="Z28" s="658"/>
      <c r="AA28" s="658"/>
      <c r="AB28" s="715">
        <f>IF($CF$23=1,Riqualificazione!C18,$CE$23)</f>
        <v>0</v>
      </c>
      <c r="AC28" s="664"/>
      <c r="AD28" s="664"/>
      <c r="AE28" s="664"/>
      <c r="AF28" s="664"/>
      <c r="AG28" s="664"/>
      <c r="AH28" s="664"/>
      <c r="AI28" s="664"/>
      <c r="AJ28" s="664"/>
      <c r="AK28" s="664"/>
      <c r="AL28" s="715">
        <f>IF($CF$23=1,Riqualificazione!D18,$CE$23)</f>
        <v>2</v>
      </c>
      <c r="AM28" s="664"/>
      <c r="AN28" s="664"/>
      <c r="AO28" s="664"/>
      <c r="AP28" s="664"/>
      <c r="AQ28" s="664"/>
      <c r="AR28" s="664"/>
      <c r="AS28" s="664"/>
      <c r="AT28" s="664"/>
      <c r="AU28" s="664"/>
      <c r="AV28" s="715">
        <f>IF($CF$23=1,Riqualificazione!E18,$CE$23)</f>
        <v>4</v>
      </c>
      <c r="AW28" s="662"/>
      <c r="AX28" s="662"/>
      <c r="AY28" s="662"/>
      <c r="AZ28" s="662"/>
      <c r="BA28" s="662"/>
      <c r="BB28" s="662"/>
      <c r="BC28" s="662"/>
      <c r="BD28" s="662"/>
      <c r="BE28" s="662"/>
      <c r="BF28" s="715">
        <f>IF($CF$23=1,Riqualificazione!G9,$CE$23)</f>
        <v>0</v>
      </c>
      <c r="BG28" s="664"/>
      <c r="BH28" s="664"/>
      <c r="BI28" s="664"/>
      <c r="BJ28" s="664"/>
      <c r="BK28" s="664"/>
      <c r="BL28" s="664"/>
      <c r="BM28" s="664"/>
      <c r="BN28" s="664"/>
      <c r="BO28" s="664"/>
      <c r="BP28" s="716">
        <f>IF($CF$23=1,CA28,$CE$23)</f>
        <v>6</v>
      </c>
      <c r="BQ28" s="664"/>
      <c r="BR28" s="664"/>
      <c r="BS28" s="664"/>
      <c r="BT28" s="664"/>
      <c r="BU28" s="664"/>
      <c r="BV28" s="664"/>
      <c r="BW28" s="664"/>
      <c r="BX28" s="664"/>
      <c r="BY28" s="664"/>
      <c r="BZ28" s="664"/>
      <c r="CA28" s="264">
        <f>AB28+AL28+AV28+BF28</f>
        <v>6</v>
      </c>
      <c r="CE28" s="261"/>
    </row>
    <row r="29" spans="1:68" ht="16.5" customHeight="1">
      <c r="A29" s="3">
        <v>1</v>
      </c>
      <c r="B29" s="184"/>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2"/>
      <c r="AZ29" s="262"/>
      <c r="BA29" s="262"/>
      <c r="BB29" s="262"/>
      <c r="BC29" s="262"/>
      <c r="BD29" s="262"/>
      <c r="BE29" s="262"/>
      <c r="BF29" s="262"/>
      <c r="BG29" s="263"/>
      <c r="BH29" s="263"/>
      <c r="BI29" s="263"/>
      <c r="BJ29" s="263"/>
      <c r="BK29" s="263"/>
      <c r="BL29" s="263"/>
      <c r="BM29" s="263"/>
      <c r="BN29" s="263"/>
      <c r="BP29" s="264"/>
    </row>
    <row r="30" spans="1:79" ht="16.5" customHeight="1">
      <c r="A30" s="3">
        <v>1</v>
      </c>
      <c r="B30" s="713" t="s">
        <v>800</v>
      </c>
      <c r="C30" s="664"/>
      <c r="D30" s="664"/>
      <c r="E30" s="664"/>
      <c r="F30" s="664"/>
      <c r="G30" s="664"/>
      <c r="H30" s="664"/>
      <c r="I30" s="664"/>
      <c r="J30" s="664"/>
      <c r="K30" s="664"/>
      <c r="L30" s="664"/>
      <c r="M30" s="664"/>
      <c r="N30" s="664"/>
      <c r="O30" s="664"/>
      <c r="P30" s="664"/>
      <c r="Q30" s="664"/>
      <c r="R30" s="664"/>
      <c r="S30" s="664"/>
      <c r="T30" s="664"/>
      <c r="U30" s="664"/>
      <c r="V30" s="664"/>
      <c r="W30" s="664"/>
      <c r="X30" s="664"/>
      <c r="Y30" s="664"/>
      <c r="Z30" s="664"/>
      <c r="AA30" s="664"/>
      <c r="AB30" s="664"/>
      <c r="AC30" s="664"/>
      <c r="AD30" s="664"/>
      <c r="AE30" s="664"/>
      <c r="AF30" s="664"/>
      <c r="AG30" s="664"/>
      <c r="AH30" s="664"/>
      <c r="AI30" s="664"/>
      <c r="AJ30" s="664"/>
      <c r="AK30" s="664"/>
      <c r="AL30" s="664"/>
      <c r="AM30" s="664"/>
      <c r="AN30" s="664"/>
      <c r="AO30" s="664"/>
      <c r="AP30" s="664"/>
      <c r="AQ30" s="664"/>
      <c r="AR30" s="664"/>
      <c r="AS30" s="664"/>
      <c r="AT30" s="664"/>
      <c r="AU30" s="664"/>
      <c r="AV30" s="664"/>
      <c r="AW30" s="664"/>
      <c r="AX30" s="664"/>
      <c r="AY30" s="664"/>
      <c r="AZ30" s="664"/>
      <c r="BA30" s="664"/>
      <c r="BB30" s="664"/>
      <c r="BC30" s="664"/>
      <c r="BD30" s="664"/>
      <c r="BE30" s="664"/>
      <c r="BF30" s="664"/>
      <c r="BG30" s="664"/>
      <c r="BH30" s="664"/>
      <c r="BI30" s="664"/>
      <c r="BJ30" s="664"/>
      <c r="BK30" s="664"/>
      <c r="BL30" s="664"/>
      <c r="BM30" s="664"/>
      <c r="BN30" s="664"/>
      <c r="BO30" s="664"/>
      <c r="BP30" s="664"/>
      <c r="BQ30" s="664"/>
      <c r="BR30" s="664"/>
      <c r="BS30" s="664"/>
      <c r="BT30" s="664"/>
      <c r="BU30" s="664"/>
      <c r="BV30" s="664"/>
      <c r="BW30" s="664"/>
      <c r="BX30" s="664"/>
      <c r="BY30" s="664"/>
      <c r="BZ30" s="664"/>
      <c r="CA30" s="664"/>
    </row>
    <row r="31" spans="1:69" ht="16.5" customHeight="1">
      <c r="A31" s="3">
        <v>1</v>
      </c>
      <c r="B31" s="706" t="s">
        <v>801</v>
      </c>
      <c r="C31" s="706"/>
      <c r="D31" s="706"/>
      <c r="E31" s="706"/>
      <c r="F31" s="706"/>
      <c r="G31" s="706"/>
      <c r="H31" s="706"/>
      <c r="I31" s="706"/>
      <c r="J31" s="706"/>
      <c r="K31" s="706"/>
      <c r="L31" s="706"/>
      <c r="M31" s="706"/>
      <c r="N31" s="706"/>
      <c r="O31" s="706"/>
      <c r="P31" s="706"/>
      <c r="Q31" s="706"/>
      <c r="R31" s="706"/>
      <c r="S31" s="706"/>
      <c r="T31" s="706"/>
      <c r="U31" s="706"/>
      <c r="V31" s="706"/>
      <c r="X31" s="3" t="s">
        <v>383</v>
      </c>
      <c r="AK31" s="722">
        <f>Simulatore!C12</f>
        <v>3500</v>
      </c>
      <c r="AL31" s="658" t="e">
        <f>#REF!</f>
        <v>#REF!</v>
      </c>
      <c r="AM31" s="658"/>
      <c r="AN31" s="658"/>
      <c r="AO31" s="658"/>
      <c r="AP31" s="658"/>
      <c r="AQ31" s="3" t="s">
        <v>83</v>
      </c>
      <c r="BB31" s="292"/>
      <c r="BD31" s="3" t="s">
        <v>753</v>
      </c>
      <c r="BI31" s="676" t="e">
        <f>#REF!</f>
        <v>#REF!</v>
      </c>
      <c r="BJ31" s="664"/>
      <c r="BK31" s="664"/>
      <c r="BL31" s="664"/>
      <c r="BM31" s="664"/>
      <c r="BN31" s="664"/>
      <c r="BO31" s="664"/>
      <c r="BP31" s="664"/>
      <c r="BQ31" s="3" t="s">
        <v>649</v>
      </c>
    </row>
    <row r="32" spans="1:69" ht="16.5" customHeight="1">
      <c r="A32" s="3">
        <v>1</v>
      </c>
      <c r="B32" s="706"/>
      <c r="C32" s="706"/>
      <c r="D32" s="706"/>
      <c r="E32" s="706"/>
      <c r="F32" s="706"/>
      <c r="G32" s="706"/>
      <c r="H32" s="706"/>
      <c r="I32" s="706"/>
      <c r="J32" s="706"/>
      <c r="K32" s="706"/>
      <c r="L32" s="706"/>
      <c r="M32" s="706"/>
      <c r="N32" s="706"/>
      <c r="O32" s="706"/>
      <c r="P32" s="706"/>
      <c r="Q32" s="706"/>
      <c r="R32" s="706"/>
      <c r="S32" s="706"/>
      <c r="T32" s="706"/>
      <c r="U32" s="706"/>
      <c r="V32" s="706"/>
      <c r="AI32" s="261" t="e">
        <f>#REF!</f>
        <v>#REF!</v>
      </c>
      <c r="AK32" s="722" t="e">
        <f>#REF!</f>
        <v>#REF!</v>
      </c>
      <c r="AL32" s="658"/>
      <c r="AM32" s="658"/>
      <c r="AN32" s="658"/>
      <c r="AO32" s="658"/>
      <c r="AP32" s="658"/>
      <c r="AQ32" s="3" t="s">
        <v>83</v>
      </c>
      <c r="BD32" s="3" t="s">
        <v>753</v>
      </c>
      <c r="BI32" s="676" t="e">
        <f>#REF!</f>
        <v>#REF!</v>
      </c>
      <c r="BJ32" s="664"/>
      <c r="BK32" s="664"/>
      <c r="BL32" s="664"/>
      <c r="BM32" s="664"/>
      <c r="BN32" s="664"/>
      <c r="BO32" s="664"/>
      <c r="BP32" s="664"/>
      <c r="BQ32" s="3" t="s">
        <v>649</v>
      </c>
    </row>
    <row r="33" spans="1:87" ht="16.5" customHeight="1">
      <c r="A33" s="3">
        <v>1</v>
      </c>
      <c r="B33" s="720">
        <f>Simulatore!O23</f>
        <v>150.58869701726846</v>
      </c>
      <c r="C33" s="720"/>
      <c r="D33" s="720"/>
      <c r="E33" s="720"/>
      <c r="F33" s="720"/>
      <c r="G33" s="720"/>
      <c r="H33" s="720"/>
      <c r="I33" s="720"/>
      <c r="J33" s="720"/>
      <c r="K33" s="721" t="s">
        <v>885</v>
      </c>
      <c r="L33" s="721"/>
      <c r="M33" s="721"/>
      <c r="N33" s="721"/>
      <c r="O33" s="721"/>
      <c r="P33" s="721"/>
      <c r="Q33" s="721"/>
      <c r="R33" s="721"/>
      <c r="S33" s="721"/>
      <c r="T33" s="721"/>
      <c r="U33" s="721"/>
      <c r="V33" s="721"/>
      <c r="AI33" s="261" t="e">
        <f>#REF!</f>
        <v>#REF!</v>
      </c>
      <c r="AK33" s="722" t="e">
        <f>#REF!</f>
        <v>#REF!</v>
      </c>
      <c r="AL33" s="658"/>
      <c r="AM33" s="658"/>
      <c r="AN33" s="658"/>
      <c r="AO33" s="658"/>
      <c r="AP33" s="658"/>
      <c r="AQ33" s="3" t="s">
        <v>83</v>
      </c>
      <c r="BD33" s="3" t="s">
        <v>753</v>
      </c>
      <c r="BI33" s="676" t="e">
        <f>#REF!</f>
        <v>#REF!</v>
      </c>
      <c r="BJ33" s="664"/>
      <c r="BK33" s="664"/>
      <c r="BL33" s="664"/>
      <c r="BM33" s="664"/>
      <c r="BN33" s="664"/>
      <c r="BO33" s="664"/>
      <c r="BP33" s="664"/>
      <c r="BQ33" s="3" t="s">
        <v>649</v>
      </c>
      <c r="CI33" s="6"/>
    </row>
    <row r="34" spans="1:71" ht="16.5" customHeight="1">
      <c r="A34" s="3">
        <v>1</v>
      </c>
      <c r="B34" s="720"/>
      <c r="C34" s="720"/>
      <c r="D34" s="720"/>
      <c r="E34" s="720"/>
      <c r="F34" s="720"/>
      <c r="G34" s="720"/>
      <c r="H34" s="720"/>
      <c r="I34" s="720"/>
      <c r="J34" s="720"/>
      <c r="K34" s="721"/>
      <c r="L34" s="721"/>
      <c r="M34" s="721"/>
      <c r="N34" s="721"/>
      <c r="O34" s="721"/>
      <c r="P34" s="721"/>
      <c r="Q34" s="721"/>
      <c r="R34" s="721"/>
      <c r="S34" s="721"/>
      <c r="T34" s="721"/>
      <c r="U34" s="721"/>
      <c r="V34" s="721"/>
      <c r="W34" s="267"/>
      <c r="X34" s="267"/>
      <c r="Y34" s="267"/>
      <c r="Z34" s="267"/>
      <c r="AA34" s="267"/>
      <c r="AB34" s="267"/>
      <c r="AC34" s="267"/>
      <c r="AD34" s="267"/>
      <c r="AE34" s="267"/>
      <c r="AF34" s="267"/>
      <c r="AG34" s="267"/>
      <c r="AH34" s="267"/>
      <c r="AI34" s="268" t="s">
        <v>758</v>
      </c>
      <c r="AJ34" s="267"/>
      <c r="AK34" s="729" t="e">
        <f>AL31+AK32+AK33</f>
        <v>#REF!</v>
      </c>
      <c r="AL34" s="730"/>
      <c r="AM34" s="730"/>
      <c r="AN34" s="730"/>
      <c r="AO34" s="730"/>
      <c r="AP34" s="730"/>
      <c r="AQ34" s="267" t="s">
        <v>83</v>
      </c>
      <c r="AR34" s="267"/>
      <c r="AS34" s="267"/>
      <c r="AT34" s="267"/>
      <c r="AU34" s="267"/>
      <c r="AV34" s="267"/>
      <c r="AW34" s="267"/>
      <c r="AX34" s="267"/>
      <c r="AY34" s="267"/>
      <c r="AZ34" s="267"/>
      <c r="BA34" s="267"/>
      <c r="BB34" s="267"/>
      <c r="BD34" s="267" t="s">
        <v>753</v>
      </c>
      <c r="BE34" s="267"/>
      <c r="BF34" s="267"/>
      <c r="BG34" s="267"/>
      <c r="BH34" s="267"/>
      <c r="BI34" s="711" t="e">
        <f>BI31+BI32+BI33</f>
        <v>#REF!</v>
      </c>
      <c r="BJ34" s="689"/>
      <c r="BK34" s="689"/>
      <c r="BL34" s="689"/>
      <c r="BM34" s="689"/>
      <c r="BN34" s="664"/>
      <c r="BO34" s="664"/>
      <c r="BP34" s="664"/>
      <c r="BQ34" s="267" t="s">
        <v>649</v>
      </c>
      <c r="BR34" s="267"/>
      <c r="BS34" s="267"/>
    </row>
    <row r="35" spans="1:71" ht="16.5" customHeight="1">
      <c r="A35" s="3">
        <v>1</v>
      </c>
      <c r="B35" s="265"/>
      <c r="C35" s="265"/>
      <c r="D35" s="265"/>
      <c r="E35" s="265"/>
      <c r="F35" s="265"/>
      <c r="G35" s="265"/>
      <c r="H35" s="265"/>
      <c r="I35" s="265"/>
      <c r="J35" s="265"/>
      <c r="K35" s="266"/>
      <c r="L35" s="266"/>
      <c r="M35" s="266"/>
      <c r="N35" s="266"/>
      <c r="O35" s="266"/>
      <c r="P35" s="266"/>
      <c r="Q35" s="266"/>
      <c r="R35" s="266"/>
      <c r="S35" s="266"/>
      <c r="T35" s="266"/>
      <c r="U35" s="266"/>
      <c r="V35" s="266"/>
      <c r="W35" s="267"/>
      <c r="X35" s="267"/>
      <c r="Y35" s="267"/>
      <c r="Z35" s="267"/>
      <c r="AA35" s="267"/>
      <c r="AB35" s="267"/>
      <c r="AC35" s="267"/>
      <c r="AD35" s="267"/>
      <c r="AE35" s="267"/>
      <c r="AF35" s="267"/>
      <c r="AG35" s="267"/>
      <c r="AH35" s="267"/>
      <c r="AI35" s="268"/>
      <c r="AJ35" s="267"/>
      <c r="AK35" s="269"/>
      <c r="AL35" s="268"/>
      <c r="AM35" s="268"/>
      <c r="AN35" s="268"/>
      <c r="AO35" s="268"/>
      <c r="AP35" s="268"/>
      <c r="AQ35" s="267"/>
      <c r="AR35" s="267"/>
      <c r="AS35" s="267"/>
      <c r="AT35" s="267"/>
      <c r="AU35" s="267"/>
      <c r="AV35" s="267"/>
      <c r="AW35" s="267"/>
      <c r="AX35" s="267"/>
      <c r="AY35" s="267"/>
      <c r="AZ35" s="267"/>
      <c r="BA35" s="267"/>
      <c r="BB35" s="267"/>
      <c r="BC35" s="267"/>
      <c r="BD35" s="267"/>
      <c r="BE35" s="267"/>
      <c r="BF35" s="267"/>
      <c r="BG35" s="267"/>
      <c r="BH35" s="267"/>
      <c r="BI35" s="270"/>
      <c r="BJ35" s="271"/>
      <c r="BK35" s="271"/>
      <c r="BL35" s="271"/>
      <c r="BM35" s="271"/>
      <c r="BN35" s="267"/>
      <c r="BO35" s="267"/>
      <c r="BP35" s="267"/>
      <c r="BQ35" s="267"/>
      <c r="BR35" s="267"/>
      <c r="BS35" s="267"/>
    </row>
    <row r="36" spans="1:71" ht="16.5" customHeight="1">
      <c r="A36" s="3">
        <v>1</v>
      </c>
      <c r="B36" s="265"/>
      <c r="C36" s="265"/>
      <c r="D36" s="265"/>
      <c r="E36" s="265"/>
      <c r="F36" s="265"/>
      <c r="G36" s="265"/>
      <c r="H36" s="265"/>
      <c r="I36" s="265"/>
      <c r="J36" s="265"/>
      <c r="K36" s="266"/>
      <c r="L36" s="266"/>
      <c r="M36" s="266"/>
      <c r="N36" s="266"/>
      <c r="O36" s="266"/>
      <c r="P36" s="266"/>
      <c r="Q36" s="266"/>
      <c r="R36" s="266"/>
      <c r="S36" s="266"/>
      <c r="T36" s="266"/>
      <c r="U36" s="266"/>
      <c r="V36" s="266"/>
      <c r="W36" s="267"/>
      <c r="X36" s="267"/>
      <c r="Y36" s="267"/>
      <c r="Z36" s="267"/>
      <c r="AA36" s="267"/>
      <c r="AB36" s="267"/>
      <c r="AC36" s="267"/>
      <c r="AD36" s="267"/>
      <c r="AE36" s="267"/>
      <c r="AF36" s="267"/>
      <c r="AG36" s="267"/>
      <c r="AH36" s="267"/>
      <c r="AI36" s="268"/>
      <c r="AJ36" s="267"/>
      <c r="AK36" s="269"/>
      <c r="AL36" s="268"/>
      <c r="AM36" s="268"/>
      <c r="AN36" s="268"/>
      <c r="AO36" s="268"/>
      <c r="AP36" s="268"/>
      <c r="AQ36" s="267"/>
      <c r="AR36" s="267"/>
      <c r="AS36" s="267"/>
      <c r="AT36" s="267"/>
      <c r="AU36" s="267"/>
      <c r="AV36" s="267"/>
      <c r="AW36" s="267"/>
      <c r="AX36" s="267"/>
      <c r="AY36" s="267"/>
      <c r="AZ36" s="267"/>
      <c r="BA36" s="267"/>
      <c r="BB36" s="267"/>
      <c r="BC36" s="267"/>
      <c r="BD36" s="267"/>
      <c r="BE36" s="267"/>
      <c r="BF36" s="267"/>
      <c r="BG36" s="267"/>
      <c r="BH36" s="267"/>
      <c r="BI36" s="270"/>
      <c r="BJ36" s="271"/>
      <c r="BK36" s="271"/>
      <c r="BL36" s="271"/>
      <c r="BM36" s="271"/>
      <c r="BN36" s="267"/>
      <c r="BO36" s="267"/>
      <c r="BP36" s="267"/>
      <c r="BQ36" s="267"/>
      <c r="BR36" s="267"/>
      <c r="BS36" s="267"/>
    </row>
    <row r="37" spans="1:71" ht="16.5" customHeight="1">
      <c r="A37" s="3">
        <v>1</v>
      </c>
      <c r="B37" s="265"/>
      <c r="C37" s="265"/>
      <c r="D37" s="265"/>
      <c r="E37" s="265"/>
      <c r="F37" s="265"/>
      <c r="G37" s="265"/>
      <c r="H37" s="265"/>
      <c r="I37" s="265"/>
      <c r="J37" s="265"/>
      <c r="K37" s="266"/>
      <c r="L37" s="266"/>
      <c r="M37" s="266"/>
      <c r="N37" s="266"/>
      <c r="O37" s="266"/>
      <c r="P37" s="266"/>
      <c r="Q37" s="266"/>
      <c r="R37" s="266"/>
      <c r="S37" s="266"/>
      <c r="T37" s="266"/>
      <c r="U37" s="266"/>
      <c r="V37" s="266"/>
      <c r="W37" s="267"/>
      <c r="X37" s="267"/>
      <c r="Y37" s="267"/>
      <c r="Z37" s="267"/>
      <c r="AA37" s="267"/>
      <c r="AB37" s="267"/>
      <c r="AC37" s="267"/>
      <c r="AD37" s="267"/>
      <c r="AE37" s="267"/>
      <c r="AF37" s="267"/>
      <c r="AG37" s="267"/>
      <c r="AH37" s="267"/>
      <c r="AI37" s="268"/>
      <c r="AJ37" s="267"/>
      <c r="AK37" s="269"/>
      <c r="AL37" s="268"/>
      <c r="AM37" s="268"/>
      <c r="AN37" s="268"/>
      <c r="AO37" s="268"/>
      <c r="AP37" s="268"/>
      <c r="AQ37" s="267"/>
      <c r="AR37" s="267"/>
      <c r="AS37" s="267"/>
      <c r="AT37" s="267"/>
      <c r="AU37" s="267"/>
      <c r="AV37" s="267"/>
      <c r="AW37" s="267"/>
      <c r="AX37" s="267"/>
      <c r="AY37" s="267"/>
      <c r="AZ37" s="267"/>
      <c r="BA37" s="267"/>
      <c r="BB37" s="267"/>
      <c r="BC37" s="267"/>
      <c r="BD37" s="267"/>
      <c r="BE37" s="267"/>
      <c r="BF37" s="267"/>
      <c r="BG37" s="267"/>
      <c r="BH37" s="267"/>
      <c r="BI37" s="270"/>
      <c r="BJ37" s="271"/>
      <c r="BK37" s="271"/>
      <c r="BL37" s="271"/>
      <c r="BM37" s="271"/>
      <c r="BN37" s="267"/>
      <c r="BO37" s="267"/>
      <c r="BP37" s="267"/>
      <c r="BQ37" s="267"/>
      <c r="BR37" s="267"/>
      <c r="BS37" s="267"/>
    </row>
    <row r="38" spans="1:71" ht="16.5" customHeight="1">
      <c r="A38" s="3">
        <v>1</v>
      </c>
      <c r="B38" s="265"/>
      <c r="C38" s="265"/>
      <c r="D38" s="265"/>
      <c r="E38" s="265"/>
      <c r="F38" s="265"/>
      <c r="G38" s="265"/>
      <c r="H38" s="265"/>
      <c r="I38" s="265"/>
      <c r="J38" s="265"/>
      <c r="K38" s="266"/>
      <c r="L38" s="266"/>
      <c r="M38" s="266"/>
      <c r="N38" s="266"/>
      <c r="O38" s="266"/>
      <c r="P38" s="266"/>
      <c r="Q38" s="266"/>
      <c r="R38" s="266"/>
      <c r="S38" s="266"/>
      <c r="T38" s="266"/>
      <c r="U38" s="266"/>
      <c r="V38" s="266"/>
      <c r="W38" s="267"/>
      <c r="X38" s="267"/>
      <c r="Y38" s="267"/>
      <c r="Z38" s="267"/>
      <c r="AA38" s="267"/>
      <c r="AB38" s="267"/>
      <c r="AC38" s="267"/>
      <c r="AD38" s="267"/>
      <c r="AE38" s="267"/>
      <c r="AF38" s="267"/>
      <c r="AG38" s="267"/>
      <c r="AH38" s="267"/>
      <c r="AI38" s="268"/>
      <c r="AJ38" s="267"/>
      <c r="AK38" s="269"/>
      <c r="AL38" s="268"/>
      <c r="AM38" s="268"/>
      <c r="AN38" s="268"/>
      <c r="AO38" s="268"/>
      <c r="AP38" s="268"/>
      <c r="AQ38" s="267"/>
      <c r="AR38" s="267"/>
      <c r="AS38" s="267"/>
      <c r="AT38" s="267"/>
      <c r="AU38" s="267"/>
      <c r="AV38" s="267"/>
      <c r="AW38" s="267"/>
      <c r="AX38" s="267"/>
      <c r="AY38" s="267"/>
      <c r="AZ38" s="267"/>
      <c r="BA38" s="267"/>
      <c r="BB38" s="267"/>
      <c r="BC38" s="267"/>
      <c r="BD38" s="267"/>
      <c r="BE38" s="267"/>
      <c r="BF38" s="267"/>
      <c r="BG38" s="267"/>
      <c r="BH38" s="267"/>
      <c r="BI38" s="270"/>
      <c r="BJ38" s="271"/>
      <c r="BK38" s="271"/>
      <c r="BL38" s="271"/>
      <c r="BM38" s="271"/>
      <c r="BN38" s="267"/>
      <c r="BO38" s="267"/>
      <c r="BP38" s="267"/>
      <c r="BQ38" s="267"/>
      <c r="BR38" s="267"/>
      <c r="BS38" s="267"/>
    </row>
    <row r="39" spans="1:71" ht="16.5" customHeight="1">
      <c r="A39" s="3">
        <v>1</v>
      </c>
      <c r="B39" s="265"/>
      <c r="C39" s="265"/>
      <c r="D39" s="265"/>
      <c r="E39" s="265"/>
      <c r="F39" s="265"/>
      <c r="G39" s="265"/>
      <c r="H39" s="265"/>
      <c r="I39" s="265"/>
      <c r="J39" s="265"/>
      <c r="K39" s="266"/>
      <c r="L39" s="266"/>
      <c r="M39" s="266"/>
      <c r="N39" s="266"/>
      <c r="O39" s="266"/>
      <c r="P39" s="266"/>
      <c r="Q39" s="266"/>
      <c r="R39" s="266"/>
      <c r="S39" s="266"/>
      <c r="T39" s="266"/>
      <c r="U39" s="266"/>
      <c r="V39" s="266"/>
      <c r="W39" s="267"/>
      <c r="X39" s="267"/>
      <c r="Y39" s="267"/>
      <c r="Z39" s="267"/>
      <c r="AA39" s="267"/>
      <c r="AB39" s="267"/>
      <c r="AC39" s="267"/>
      <c r="AD39" s="267"/>
      <c r="AE39" s="267"/>
      <c r="AF39" s="267"/>
      <c r="AG39" s="267"/>
      <c r="AH39" s="267"/>
      <c r="AI39" s="268"/>
      <c r="AJ39" s="267"/>
      <c r="AK39" s="269"/>
      <c r="AL39" s="268"/>
      <c r="AM39" s="268"/>
      <c r="AN39" s="268"/>
      <c r="AO39" s="268"/>
      <c r="AP39" s="268"/>
      <c r="AQ39" s="267"/>
      <c r="AR39" s="267"/>
      <c r="AS39" s="267"/>
      <c r="AT39" s="267"/>
      <c r="AU39" s="267"/>
      <c r="AV39" s="267"/>
      <c r="AW39" s="267"/>
      <c r="AX39" s="267"/>
      <c r="AY39" s="267"/>
      <c r="AZ39" s="267"/>
      <c r="BA39" s="267"/>
      <c r="BB39" s="267"/>
      <c r="BC39" s="267"/>
      <c r="BD39" s="267"/>
      <c r="BE39" s="267"/>
      <c r="BF39" s="267"/>
      <c r="BG39" s="267"/>
      <c r="BH39" s="267"/>
      <c r="BI39" s="270"/>
      <c r="BJ39" s="271"/>
      <c r="BK39" s="271"/>
      <c r="BL39" s="271"/>
      <c r="BM39" s="271"/>
      <c r="BN39" s="267"/>
      <c r="BO39" s="267"/>
      <c r="BP39" s="267"/>
      <c r="BQ39" s="267"/>
      <c r="BR39" s="267"/>
      <c r="BS39" s="267"/>
    </row>
    <row r="40" spans="1:79" ht="19.5" customHeight="1">
      <c r="A40" s="3">
        <v>1</v>
      </c>
      <c r="B40" s="668" t="s">
        <v>886</v>
      </c>
      <c r="C40" s="664"/>
      <c r="D40" s="664"/>
      <c r="E40" s="664"/>
      <c r="F40" s="664"/>
      <c r="G40" s="664"/>
      <c r="H40" s="664"/>
      <c r="I40" s="664"/>
      <c r="J40" s="664"/>
      <c r="K40" s="664"/>
      <c r="L40" s="664"/>
      <c r="M40" s="664"/>
      <c r="N40" s="664"/>
      <c r="O40" s="664"/>
      <c r="P40" s="664"/>
      <c r="Q40" s="664"/>
      <c r="R40" s="664"/>
      <c r="S40" s="664"/>
      <c r="T40" s="664"/>
      <c r="U40" s="664"/>
      <c r="V40" s="664"/>
      <c r="W40" s="664"/>
      <c r="X40" s="664"/>
      <c r="Y40" s="664"/>
      <c r="Z40" s="664"/>
      <c r="AA40" s="664"/>
      <c r="AB40" s="664"/>
      <c r="AC40" s="664"/>
      <c r="AD40" s="664"/>
      <c r="AE40" s="664"/>
      <c r="AF40" s="664"/>
      <c r="AG40" s="664"/>
      <c r="AH40" s="664"/>
      <c r="AI40" s="664"/>
      <c r="AJ40" s="664"/>
      <c r="AK40" s="664"/>
      <c r="AL40" s="664"/>
      <c r="AM40" s="664"/>
      <c r="AN40" s="664"/>
      <c r="AO40" s="664"/>
      <c r="AP40" s="664"/>
      <c r="AQ40" s="664"/>
      <c r="AR40" s="664"/>
      <c r="AS40" s="664"/>
      <c r="AT40" s="664"/>
      <c r="AU40" s="664"/>
      <c r="AV40" s="664"/>
      <c r="AW40" s="664"/>
      <c r="AX40" s="664"/>
      <c r="AY40" s="664"/>
      <c r="AZ40" s="664"/>
      <c r="BA40" s="664"/>
      <c r="BB40" s="664"/>
      <c r="BC40" s="664"/>
      <c r="BD40" s="664"/>
      <c r="BE40" s="664"/>
      <c r="BF40" s="664"/>
      <c r="BG40" s="664"/>
      <c r="BH40" s="664"/>
      <c r="BI40" s="664"/>
      <c r="BJ40" s="664"/>
      <c r="BK40" s="664"/>
      <c r="BL40" s="664"/>
      <c r="BM40" s="664"/>
      <c r="BN40" s="664"/>
      <c r="BO40" s="664"/>
      <c r="BP40" s="664"/>
      <c r="BQ40" s="664"/>
      <c r="BR40" s="664"/>
      <c r="BS40" s="664"/>
      <c r="BT40" s="664"/>
      <c r="BU40" s="664"/>
      <c r="BV40" s="664"/>
      <c r="BW40" s="664"/>
      <c r="BX40" s="664"/>
      <c r="BY40" s="664"/>
      <c r="BZ40" s="664"/>
      <c r="CA40" s="664"/>
    </row>
    <row r="41" spans="1:88" ht="16.5" customHeight="1">
      <c r="A41" s="3">
        <v>1</v>
      </c>
      <c r="B41" s="660" t="s">
        <v>442</v>
      </c>
      <c r="C41" s="660"/>
      <c r="D41" s="660"/>
      <c r="E41" s="660"/>
      <c r="F41" s="660"/>
      <c r="G41" s="660"/>
      <c r="H41" s="660"/>
      <c r="I41" s="660"/>
      <c r="J41" s="660"/>
      <c r="K41" s="660"/>
      <c r="L41" s="660"/>
      <c r="M41" s="660"/>
      <c r="N41" s="660"/>
      <c r="O41" s="660"/>
      <c r="P41" s="660"/>
      <c r="Q41" s="660"/>
      <c r="R41" s="660"/>
      <c r="S41" s="660"/>
      <c r="T41" s="660"/>
      <c r="U41" s="660"/>
      <c r="V41" s="660"/>
      <c r="W41" s="660"/>
      <c r="X41" s="660"/>
      <c r="Y41" s="660"/>
      <c r="Z41" s="660"/>
      <c r="AA41" s="660"/>
      <c r="AB41" s="660"/>
      <c r="AC41" s="660"/>
      <c r="AD41" s="660"/>
      <c r="AE41" s="660"/>
      <c r="AF41" s="660"/>
      <c r="AG41" s="710">
        <f>Simulatore!G25</f>
        <v>1</v>
      </c>
      <c r="AH41" s="662"/>
      <c r="AI41" s="662"/>
      <c r="AJ41" s="662"/>
      <c r="AK41" s="662"/>
      <c r="AL41" s="662"/>
      <c r="AM41" s="662"/>
      <c r="AO41" s="660" t="s">
        <v>240</v>
      </c>
      <c r="AP41" s="664"/>
      <c r="AQ41" s="664"/>
      <c r="AR41" s="664"/>
      <c r="AS41" s="664"/>
      <c r="AT41" s="664"/>
      <c r="AU41" s="664"/>
      <c r="AV41" s="664"/>
      <c r="AW41" s="664"/>
      <c r="AX41" s="664"/>
      <c r="AY41" s="664"/>
      <c r="AZ41" s="664"/>
      <c r="BA41" s="664"/>
      <c r="BB41" s="664"/>
      <c r="BC41" s="664"/>
      <c r="BD41" s="664"/>
      <c r="BE41" s="664"/>
      <c r="BF41" s="664"/>
      <c r="BG41" s="664"/>
      <c r="BH41" s="664"/>
      <c r="BI41" s="664"/>
      <c r="BJ41" s="664"/>
      <c r="BK41" s="664"/>
      <c r="BL41" s="664"/>
      <c r="BM41" s="664"/>
      <c r="BN41" s="664"/>
      <c r="BO41" s="664"/>
      <c r="BP41" s="664"/>
      <c r="BQ41" s="664"/>
      <c r="BR41" s="664"/>
      <c r="BS41" s="664"/>
      <c r="BT41" s="664"/>
      <c r="BU41" s="715">
        <f>Simulatore!U22</f>
        <v>9.854511838465337</v>
      </c>
      <c r="BV41" s="715"/>
      <c r="BW41" s="715"/>
      <c r="BX41" s="715"/>
      <c r="BY41" s="715"/>
      <c r="BZ41" s="715"/>
      <c r="CA41" s="715"/>
      <c r="CG41" s="176">
        <v>1</v>
      </c>
      <c r="CI41" s="171">
        <f>VLOOKUP(CG41,$CG$42:$CI$44,3,)</f>
        <v>0</v>
      </c>
      <c r="CJ41" s="281">
        <f>Riqualificazione!E28</f>
        <v>0</v>
      </c>
    </row>
    <row r="42" spans="1:88" ht="16.5" customHeight="1">
      <c r="A42" s="3">
        <v>1</v>
      </c>
      <c r="B42" s="660" t="s">
        <v>244</v>
      </c>
      <c r="C42" s="664"/>
      <c r="D42" s="664"/>
      <c r="E42" s="664"/>
      <c r="F42" s="664"/>
      <c r="G42" s="664"/>
      <c r="H42" s="664"/>
      <c r="I42" s="664"/>
      <c r="J42" s="664"/>
      <c r="K42" s="664"/>
      <c r="L42" s="664"/>
      <c r="M42" s="664"/>
      <c r="N42" s="664"/>
      <c r="O42" s="664"/>
      <c r="P42" s="664"/>
      <c r="Q42" s="664"/>
      <c r="R42" s="664"/>
      <c r="S42" s="664"/>
      <c r="T42" s="664"/>
      <c r="U42" s="664"/>
      <c r="V42" s="664"/>
      <c r="W42" s="664"/>
      <c r="X42" s="664"/>
      <c r="Y42" s="664"/>
      <c r="Z42" s="664"/>
      <c r="AA42" s="664"/>
      <c r="AB42" s="664"/>
      <c r="AC42" s="664"/>
      <c r="AD42" s="664"/>
      <c r="AE42" s="664"/>
      <c r="AF42" s="664"/>
      <c r="AG42" s="710">
        <f>Simulatore!G26</f>
        <v>0.07</v>
      </c>
      <c r="AH42" s="662"/>
      <c r="AI42" s="662"/>
      <c r="AJ42" s="662"/>
      <c r="AK42" s="662"/>
      <c r="AL42" s="662"/>
      <c r="AM42" s="662"/>
      <c r="AO42" s="660" t="s">
        <v>626</v>
      </c>
      <c r="AP42" s="664"/>
      <c r="AQ42" s="664"/>
      <c r="AR42" s="664"/>
      <c r="AS42" s="664"/>
      <c r="AT42" s="664"/>
      <c r="AU42" s="664"/>
      <c r="AV42" s="664"/>
      <c r="AW42" s="664"/>
      <c r="AX42" s="664"/>
      <c r="AY42" s="664"/>
      <c r="AZ42" s="664"/>
      <c r="BA42" s="664"/>
      <c r="BB42" s="664"/>
      <c r="BC42" s="664"/>
      <c r="BD42" s="664"/>
      <c r="BE42" s="664"/>
      <c r="BF42" s="664"/>
      <c r="BG42" s="664"/>
      <c r="BH42" s="664"/>
      <c r="BI42" s="664"/>
      <c r="BJ42" s="664"/>
      <c r="BK42" s="664"/>
      <c r="BL42" s="664"/>
      <c r="BM42" s="664"/>
      <c r="BN42" s="664"/>
      <c r="BO42" s="664"/>
      <c r="BP42" s="664"/>
      <c r="BQ42" s="664"/>
      <c r="BR42" s="664"/>
      <c r="BS42" s="664"/>
      <c r="BT42" s="664"/>
      <c r="BU42" s="710">
        <f>Simulatore!U21</f>
        <v>1.0147627738045728</v>
      </c>
      <c r="BV42" s="662"/>
      <c r="BW42" s="662"/>
      <c r="BX42" s="662"/>
      <c r="BY42" s="662"/>
      <c r="BZ42" s="662"/>
      <c r="CA42" s="662"/>
      <c r="CH42" s="177" t="s">
        <v>863</v>
      </c>
      <c r="CI42" s="176"/>
      <c r="CJ42" s="281"/>
    </row>
    <row r="43" spans="1:87" ht="16.5" customHeight="1">
      <c r="A43" s="3">
        <v>1</v>
      </c>
      <c r="B43" s="660" t="s">
        <v>865</v>
      </c>
      <c r="C43" s="664"/>
      <c r="D43" s="664"/>
      <c r="E43" s="664"/>
      <c r="F43" s="664"/>
      <c r="G43" s="664"/>
      <c r="H43" s="664"/>
      <c r="I43" s="664"/>
      <c r="J43" s="664"/>
      <c r="K43" s="664"/>
      <c r="L43" s="664"/>
      <c r="M43" s="664"/>
      <c r="N43" s="664"/>
      <c r="O43" s="664"/>
      <c r="P43" s="664"/>
      <c r="Q43" s="664"/>
      <c r="R43" s="664"/>
      <c r="S43" s="664"/>
      <c r="T43" s="664"/>
      <c r="U43" s="664"/>
      <c r="V43" s="664"/>
      <c r="W43" s="664"/>
      <c r="X43" s="664"/>
      <c r="Y43" s="664"/>
      <c r="Z43" s="664"/>
      <c r="AA43" s="664"/>
      <c r="AB43" s="664"/>
      <c r="AC43" s="664"/>
      <c r="AD43" s="664"/>
      <c r="AE43" s="664"/>
      <c r="AF43" s="664"/>
      <c r="AG43" s="709">
        <f>Simulatore!G27</f>
        <v>12</v>
      </c>
      <c r="AH43" s="662"/>
      <c r="AI43" s="662"/>
      <c r="AJ43" s="662"/>
      <c r="AK43" s="662"/>
      <c r="AL43" s="662"/>
      <c r="AM43" s="662"/>
      <c r="AO43" s="660" t="s">
        <v>246</v>
      </c>
      <c r="AP43" s="664"/>
      <c r="AQ43" s="664"/>
      <c r="AR43" s="664"/>
      <c r="AS43" s="664"/>
      <c r="AT43" s="664"/>
      <c r="AU43" s="664"/>
      <c r="AV43" s="664"/>
      <c r="AW43" s="664"/>
      <c r="AX43" s="664"/>
      <c r="AY43" s="664"/>
      <c r="AZ43" s="664"/>
      <c r="BA43" s="664"/>
      <c r="BB43" s="664"/>
      <c r="BC43" s="664"/>
      <c r="BD43" s="664"/>
      <c r="BE43" s="664"/>
      <c r="BF43" s="664"/>
      <c r="BG43" s="664"/>
      <c r="BH43" s="664"/>
      <c r="BI43" s="664"/>
      <c r="BJ43" s="664"/>
      <c r="BK43" s="664"/>
      <c r="BL43" s="664"/>
      <c r="BM43" s="664"/>
      <c r="BN43" s="664"/>
      <c r="BO43" s="664"/>
      <c r="BP43" s="664"/>
      <c r="BQ43" s="664"/>
      <c r="BR43" s="664"/>
      <c r="BS43" s="664"/>
      <c r="BT43" s="664"/>
      <c r="BU43" s="662" t="str">
        <f>Simulatore!G80</f>
        <v>Media</v>
      </c>
      <c r="BV43" s="662"/>
      <c r="BW43" s="662"/>
      <c r="BX43" s="662"/>
      <c r="BY43" s="662"/>
      <c r="BZ43" s="662"/>
      <c r="CA43" s="662"/>
      <c r="CG43" s="176">
        <v>1</v>
      </c>
      <c r="CH43" s="218" t="s">
        <v>860</v>
      </c>
      <c r="CI43" s="176">
        <v>0</v>
      </c>
    </row>
    <row r="44" spans="1:87" ht="16.5" customHeight="1">
      <c r="A44" s="3">
        <v>1</v>
      </c>
      <c r="CG44" s="176">
        <v>2</v>
      </c>
      <c r="CH44" s="218" t="s">
        <v>861</v>
      </c>
      <c r="CI44" s="176">
        <v>1</v>
      </c>
    </row>
    <row r="45" spans="1:88" ht="18.75" customHeight="1">
      <c r="A45" s="3">
        <v>1</v>
      </c>
      <c r="B45" s="659" t="s">
        <v>887</v>
      </c>
      <c r="C45" s="660"/>
      <c r="D45" s="660"/>
      <c r="E45" s="660"/>
      <c r="F45" s="660"/>
      <c r="G45" s="660"/>
      <c r="H45" s="660"/>
      <c r="I45" s="660"/>
      <c r="J45" s="660"/>
      <c r="K45" s="660"/>
      <c r="L45" s="660"/>
      <c r="M45" s="660"/>
      <c r="N45" s="660"/>
      <c r="O45" s="660"/>
      <c r="P45" s="660"/>
      <c r="Q45" s="660"/>
      <c r="R45" s="660"/>
      <c r="S45" s="660"/>
      <c r="T45" s="660"/>
      <c r="U45" s="660"/>
      <c r="V45" s="660"/>
      <c r="W45" s="660"/>
      <c r="X45" s="660"/>
      <c r="Y45" s="660"/>
      <c r="Z45" s="660"/>
      <c r="AA45" s="660"/>
      <c r="AB45" s="660"/>
      <c r="AC45" s="660"/>
      <c r="AD45" s="660"/>
      <c r="AE45" s="660"/>
      <c r="AF45" s="660"/>
      <c r="AG45" s="660"/>
      <c r="AH45" s="660"/>
      <c r="AI45" s="660"/>
      <c r="AJ45" s="660"/>
      <c r="AK45" s="660"/>
      <c r="AL45" s="660"/>
      <c r="AM45" s="660"/>
      <c r="AN45" s="660"/>
      <c r="AO45" s="660"/>
      <c r="AP45" s="660"/>
      <c r="AQ45" s="660"/>
      <c r="AR45" s="660"/>
      <c r="AS45" s="660"/>
      <c r="AT45" s="660"/>
      <c r="AU45" s="660"/>
      <c r="AV45" s="660"/>
      <c r="AW45" s="660"/>
      <c r="AX45" s="660"/>
      <c r="AY45" s="660"/>
      <c r="AZ45" s="660"/>
      <c r="BA45" s="660"/>
      <c r="BB45" s="660"/>
      <c r="BC45" s="660"/>
      <c r="BD45" s="660"/>
      <c r="BE45" s="660"/>
      <c r="BF45" s="660"/>
      <c r="BG45" s="660"/>
      <c r="BH45" s="660"/>
      <c r="BI45" s="660"/>
      <c r="BJ45" s="660"/>
      <c r="BK45" s="660"/>
      <c r="BL45" s="660"/>
      <c r="BM45" s="660"/>
      <c r="BN45" s="660"/>
      <c r="BO45" s="660"/>
      <c r="BP45" s="660"/>
      <c r="BQ45" s="661" t="s">
        <v>138</v>
      </c>
      <c r="BR45" s="662"/>
      <c r="BS45" s="662"/>
      <c r="BT45" s="662"/>
      <c r="BU45" s="662"/>
      <c r="BV45" s="662"/>
      <c r="BW45" s="662"/>
      <c r="BX45" s="662"/>
      <c r="BY45" s="662"/>
      <c r="BZ45" s="662"/>
      <c r="CA45" s="662"/>
      <c r="CE45" s="280" t="s">
        <v>859</v>
      </c>
      <c r="CH45" s="261" t="s">
        <v>841</v>
      </c>
      <c r="CI45" s="178">
        <f>IF(CI41=1,CJ45,0)</f>
        <v>0</v>
      </c>
      <c r="CJ45" s="178">
        <f>Riqualificazione!B74</f>
        <v>0</v>
      </c>
    </row>
    <row r="46" spans="1:79" ht="15.75" customHeight="1">
      <c r="A46" s="3">
        <f>IF(BQ46=0,0,1)</f>
        <v>1</v>
      </c>
      <c r="B46" s="697" t="s">
        <v>888</v>
      </c>
      <c r="C46" s="657"/>
      <c r="D46" s="657"/>
      <c r="E46" s="657"/>
      <c r="F46" s="657"/>
      <c r="G46" s="657"/>
      <c r="H46" s="657"/>
      <c r="I46" s="657"/>
      <c r="J46" s="657"/>
      <c r="K46" s="657"/>
      <c r="L46" s="657"/>
      <c r="M46" s="657"/>
      <c r="N46" s="657"/>
      <c r="O46" s="657"/>
      <c r="P46" s="657"/>
      <c r="Q46" s="657"/>
      <c r="R46" s="657"/>
      <c r="S46" s="657"/>
      <c r="T46" s="657"/>
      <c r="U46" s="657"/>
      <c r="V46" s="657"/>
      <c r="W46" s="657"/>
      <c r="X46" s="657"/>
      <c r="Y46" s="657"/>
      <c r="Z46" s="657"/>
      <c r="AA46" s="657"/>
      <c r="AB46" s="657"/>
      <c r="AC46" s="657"/>
      <c r="AD46" s="657"/>
      <c r="AE46" s="657"/>
      <c r="AF46" s="657"/>
      <c r="AG46" s="657"/>
      <c r="AH46" s="657"/>
      <c r="AI46" s="657"/>
      <c r="AJ46" s="657"/>
      <c r="AK46" s="657"/>
      <c r="AL46" s="657"/>
      <c r="AM46" s="657"/>
      <c r="AN46" s="657"/>
      <c r="AO46" s="657"/>
      <c r="AP46" s="657"/>
      <c r="AQ46" s="657"/>
      <c r="AR46" s="657"/>
      <c r="AS46" s="657"/>
      <c r="AT46" s="657"/>
      <c r="AU46" s="657"/>
      <c r="AV46" s="657"/>
      <c r="AW46" s="657"/>
      <c r="AX46" s="657"/>
      <c r="AY46" s="657"/>
      <c r="AZ46" s="657"/>
      <c r="BA46" s="657"/>
      <c r="BB46" s="657"/>
      <c r="BC46" s="657"/>
      <c r="BD46" s="657"/>
      <c r="BE46" s="657"/>
      <c r="BF46" s="657"/>
      <c r="BG46" s="657"/>
      <c r="BH46" s="657"/>
      <c r="BI46" s="657"/>
      <c r="BJ46" s="657"/>
      <c r="BK46" s="657"/>
      <c r="BL46" s="657"/>
      <c r="BM46" s="657"/>
      <c r="BN46" s="657"/>
      <c r="BO46" s="657"/>
      <c r="BP46" s="657"/>
      <c r="BQ46" s="672">
        <f>A!J10</f>
        <v>11090.643152676796</v>
      </c>
      <c r="BR46" s="672"/>
      <c r="BS46" s="672"/>
      <c r="BT46" s="672"/>
      <c r="BU46" s="672"/>
      <c r="BV46" s="672"/>
      <c r="BW46" s="672"/>
      <c r="BX46" s="672"/>
      <c r="BY46" s="672"/>
      <c r="BZ46" s="672"/>
      <c r="CA46" s="672"/>
    </row>
    <row r="47" spans="1:79" ht="15.75" customHeight="1">
      <c r="A47" s="3">
        <f>IF(BQ46=0,0,1)</f>
        <v>1</v>
      </c>
      <c r="B47" s="671" t="str">
        <f>""&amp;Simulatore!D90&amp;", potenza "&amp;A!J6&amp;" kWp, con "&amp;Simulatore!J90&amp;""</f>
        <v>parzialmente integrato, potenza 5 kWp, con detrazione fiscale del 50%</v>
      </c>
      <c r="C47" s="664"/>
      <c r="D47" s="664"/>
      <c r="E47" s="664"/>
      <c r="F47" s="664"/>
      <c r="G47" s="664"/>
      <c r="H47" s="664"/>
      <c r="I47" s="664"/>
      <c r="J47" s="664"/>
      <c r="K47" s="664"/>
      <c r="L47" s="664"/>
      <c r="M47" s="664"/>
      <c r="N47" s="664"/>
      <c r="O47" s="664"/>
      <c r="P47" s="664"/>
      <c r="Q47" s="664"/>
      <c r="R47" s="664"/>
      <c r="S47" s="664"/>
      <c r="T47" s="664"/>
      <c r="U47" s="664"/>
      <c r="V47" s="664"/>
      <c r="W47" s="664"/>
      <c r="X47" s="664"/>
      <c r="Y47" s="664"/>
      <c r="Z47" s="664"/>
      <c r="AA47" s="664"/>
      <c r="AB47" s="664"/>
      <c r="AC47" s="664"/>
      <c r="AD47" s="664"/>
      <c r="AE47" s="664"/>
      <c r="AF47" s="664"/>
      <c r="AG47" s="664"/>
      <c r="AH47" s="664"/>
      <c r="AI47" s="664"/>
      <c r="AJ47" s="664"/>
      <c r="AK47" s="664"/>
      <c r="AL47" s="664"/>
      <c r="AM47" s="664"/>
      <c r="AN47" s="664"/>
      <c r="AO47" s="664"/>
      <c r="AP47" s="664"/>
      <c r="AQ47" s="664"/>
      <c r="AR47" s="664"/>
      <c r="AS47" s="664"/>
      <c r="AT47" s="664"/>
      <c r="AU47" s="664"/>
      <c r="AV47" s="664"/>
      <c r="AW47" s="664"/>
      <c r="AX47" s="664"/>
      <c r="AY47" s="664"/>
      <c r="AZ47" s="664"/>
      <c r="BA47" s="664"/>
      <c r="BB47" s="664"/>
      <c r="BC47" s="664"/>
      <c r="BD47" s="664"/>
      <c r="BE47" s="664"/>
      <c r="BF47" s="664"/>
      <c r="BG47" s="664"/>
      <c r="BH47" s="664"/>
      <c r="BI47" s="664"/>
      <c r="BJ47" s="664"/>
      <c r="BK47" s="664"/>
      <c r="BL47" s="664"/>
      <c r="BM47" s="664"/>
      <c r="BN47" s="664"/>
      <c r="BO47" s="664"/>
      <c r="BP47" s="664"/>
      <c r="BQ47" s="673"/>
      <c r="BR47" s="673"/>
      <c r="BS47" s="673"/>
      <c r="BT47" s="673"/>
      <c r="BU47" s="673"/>
      <c r="BV47" s="673"/>
      <c r="BW47" s="673"/>
      <c r="BX47" s="673"/>
      <c r="BY47" s="673"/>
      <c r="BZ47" s="673"/>
      <c r="CA47" s="673"/>
    </row>
    <row r="48" spans="1:79" ht="15.75" customHeight="1">
      <c r="A48" s="3">
        <f>IF(BQ48=0,0,1)</f>
        <v>1</v>
      </c>
      <c r="B48" s="674" t="str">
        <f>Simulatore!D112</f>
        <v>IMPIANTO SOLARE TERMICO</v>
      </c>
      <c r="C48" s="675"/>
      <c r="D48" s="675"/>
      <c r="E48" s="675"/>
      <c r="F48" s="675"/>
      <c r="G48" s="675"/>
      <c r="H48" s="675"/>
      <c r="I48" s="675"/>
      <c r="J48" s="67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c r="AP48" s="675"/>
      <c r="AQ48" s="675"/>
      <c r="AR48" s="675"/>
      <c r="AS48" s="675"/>
      <c r="AT48" s="675"/>
      <c r="AU48" s="675"/>
      <c r="AV48" s="675"/>
      <c r="AW48" s="675"/>
      <c r="AX48" s="675"/>
      <c r="AY48" s="675"/>
      <c r="AZ48" s="675"/>
      <c r="BA48" s="675"/>
      <c r="BB48" s="675"/>
      <c r="BC48" s="675"/>
      <c r="BD48" s="675"/>
      <c r="BE48" s="675"/>
      <c r="BF48" s="675"/>
      <c r="BG48" s="675"/>
      <c r="BH48" s="675"/>
      <c r="BI48" s="675"/>
      <c r="BJ48" s="675"/>
      <c r="BK48" s="675"/>
      <c r="BL48" s="675"/>
      <c r="BM48" s="675"/>
      <c r="BN48" s="675"/>
      <c r="BO48" s="675"/>
      <c r="BP48" s="675"/>
      <c r="BQ48" s="672">
        <f>Simulatore!U111</f>
        <v>4500</v>
      </c>
      <c r="BR48" s="672"/>
      <c r="BS48" s="672"/>
      <c r="BT48" s="672"/>
      <c r="BU48" s="672"/>
      <c r="BV48" s="672"/>
      <c r="BW48" s="672"/>
      <c r="BX48" s="672"/>
      <c r="BY48" s="672"/>
      <c r="BZ48" s="672"/>
      <c r="CA48" s="672"/>
    </row>
    <row r="49" spans="1:79" ht="15.75" customHeight="1">
      <c r="A49" s="3">
        <f>IF(BQ48=0,0,1)</f>
        <v>1</v>
      </c>
      <c r="B49" s="677" t="str">
        <f>Simulatore!H112</f>
        <v>per la produzione di acqua calda sanitaria</v>
      </c>
      <c r="C49" s="656"/>
      <c r="D49" s="656"/>
      <c r="E49" s="656"/>
      <c r="F49" s="656"/>
      <c r="G49" s="656"/>
      <c r="H49" s="656"/>
      <c r="I49" s="656"/>
      <c r="J49" s="656"/>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656"/>
      <c r="AL49" s="656"/>
      <c r="AM49" s="656"/>
      <c r="AN49" s="656"/>
      <c r="AO49" s="656"/>
      <c r="AP49" s="656"/>
      <c r="AQ49" s="656"/>
      <c r="AR49" s="656"/>
      <c r="AS49" s="656"/>
      <c r="AT49" s="656"/>
      <c r="AU49" s="656"/>
      <c r="AV49" s="656"/>
      <c r="AW49" s="656"/>
      <c r="AX49" s="656"/>
      <c r="AY49" s="656"/>
      <c r="AZ49" s="656"/>
      <c r="BA49" s="656"/>
      <c r="BB49" s="656"/>
      <c r="BC49" s="656"/>
      <c r="BD49" s="656"/>
      <c r="BE49" s="656"/>
      <c r="BF49" s="656"/>
      <c r="BG49" s="656"/>
      <c r="BH49" s="656"/>
      <c r="BI49" s="656"/>
      <c r="BJ49" s="656"/>
      <c r="BK49" s="656"/>
      <c r="BL49" s="656"/>
      <c r="BM49" s="656"/>
      <c r="BN49" s="656"/>
      <c r="BO49" s="656"/>
      <c r="BP49" s="656"/>
      <c r="BQ49" s="676"/>
      <c r="BR49" s="676"/>
      <c r="BS49" s="676"/>
      <c r="BT49" s="676"/>
      <c r="BU49" s="676"/>
      <c r="BV49" s="676"/>
      <c r="BW49" s="676"/>
      <c r="BX49" s="676"/>
      <c r="BY49" s="676"/>
      <c r="BZ49" s="676"/>
      <c r="CA49" s="676"/>
    </row>
    <row r="50" spans="1:79" ht="19.5" customHeight="1">
      <c r="A50" s="3">
        <f>IF(BQ50=0,0,1)</f>
        <v>0</v>
      </c>
      <c r="B50" s="671" t="s">
        <v>889</v>
      </c>
      <c r="C50" s="664"/>
      <c r="D50" s="664"/>
      <c r="E50" s="664"/>
      <c r="F50" s="664"/>
      <c r="G50" s="664"/>
      <c r="H50" s="664"/>
      <c r="I50" s="664"/>
      <c r="J50" s="664"/>
      <c r="K50" s="664"/>
      <c r="L50" s="664"/>
      <c r="M50" s="664"/>
      <c r="N50" s="664"/>
      <c r="O50" s="664"/>
      <c r="P50" s="664"/>
      <c r="Q50" s="664"/>
      <c r="R50" s="664"/>
      <c r="S50" s="664"/>
      <c r="T50" s="664"/>
      <c r="U50" s="664"/>
      <c r="V50" s="664"/>
      <c r="W50" s="664"/>
      <c r="X50" s="664"/>
      <c r="Y50" s="664"/>
      <c r="Z50" s="664"/>
      <c r="AA50" s="664"/>
      <c r="AB50" s="664"/>
      <c r="AC50" s="664"/>
      <c r="AD50" s="664"/>
      <c r="AE50" s="664"/>
      <c r="AF50" s="664"/>
      <c r="AG50" s="664"/>
      <c r="AH50" s="664"/>
      <c r="AI50" s="664"/>
      <c r="AJ50" s="664"/>
      <c r="AK50" s="664"/>
      <c r="AL50" s="664"/>
      <c r="AM50" s="664"/>
      <c r="AN50" s="664"/>
      <c r="AO50" s="664"/>
      <c r="AP50" s="664"/>
      <c r="AQ50" s="664"/>
      <c r="AR50" s="664"/>
      <c r="AS50" s="664"/>
      <c r="AT50" s="664"/>
      <c r="AU50" s="664"/>
      <c r="AV50" s="664"/>
      <c r="AW50" s="664"/>
      <c r="AX50" s="664"/>
      <c r="AY50" s="664"/>
      <c r="AZ50" s="664"/>
      <c r="BA50" s="664"/>
      <c r="BB50" s="664"/>
      <c r="BC50" s="664"/>
      <c r="BD50" s="664"/>
      <c r="BE50" s="664"/>
      <c r="BF50" s="664"/>
      <c r="BG50" s="664"/>
      <c r="BH50" s="664"/>
      <c r="BI50" s="664"/>
      <c r="BJ50" s="664"/>
      <c r="BK50" s="664"/>
      <c r="BL50" s="664"/>
      <c r="BM50" s="664"/>
      <c r="BN50" s="664"/>
      <c r="BO50" s="664"/>
      <c r="BP50" s="664"/>
      <c r="BQ50" s="672">
        <f>Simulatore!C61</f>
        <v>0</v>
      </c>
      <c r="BR50" s="672"/>
      <c r="BS50" s="672"/>
      <c r="BT50" s="672"/>
      <c r="BU50" s="672"/>
      <c r="BV50" s="672"/>
      <c r="BW50" s="672"/>
      <c r="BX50" s="672"/>
      <c r="BY50" s="672"/>
      <c r="BZ50" s="672"/>
      <c r="CA50" s="672"/>
    </row>
    <row r="51" spans="1:79" ht="13.5" customHeight="1">
      <c r="A51" s="3">
        <f>IF(CI45=0,0,1)</f>
        <v>0</v>
      </c>
      <c r="B51" s="671" t="s">
        <v>890</v>
      </c>
      <c r="C51" s="664"/>
      <c r="D51" s="664"/>
      <c r="E51" s="664"/>
      <c r="F51" s="664"/>
      <c r="G51" s="664"/>
      <c r="H51" s="664"/>
      <c r="I51" s="664"/>
      <c r="J51" s="664"/>
      <c r="K51" s="664"/>
      <c r="L51" s="664"/>
      <c r="M51" s="664"/>
      <c r="N51" s="664"/>
      <c r="O51" s="664"/>
      <c r="P51" s="664"/>
      <c r="Q51" s="664"/>
      <c r="R51" s="664"/>
      <c r="S51" s="664"/>
      <c r="T51" s="664"/>
      <c r="U51" s="664"/>
      <c r="V51" s="664"/>
      <c r="W51" s="664"/>
      <c r="X51" s="664"/>
      <c r="Y51" s="664"/>
      <c r="Z51" s="664"/>
      <c r="AA51" s="664"/>
      <c r="AB51" s="664"/>
      <c r="AC51" s="664"/>
      <c r="AD51" s="664"/>
      <c r="AE51" s="664"/>
      <c r="AF51" s="664"/>
      <c r="AG51" s="664"/>
      <c r="AH51" s="664"/>
      <c r="AI51" s="664"/>
      <c r="AJ51" s="664"/>
      <c r="AK51" s="664"/>
      <c r="AL51" s="664"/>
      <c r="AM51" s="664"/>
      <c r="AN51" s="664"/>
      <c r="AO51" s="664"/>
      <c r="AP51" s="664"/>
      <c r="AQ51" s="664"/>
      <c r="AR51" s="664"/>
      <c r="AS51" s="664"/>
      <c r="AT51" s="664"/>
      <c r="AU51" s="664"/>
      <c r="AV51" s="664"/>
      <c r="AW51" s="664"/>
      <c r="AX51" s="664"/>
      <c r="AY51" s="664"/>
      <c r="AZ51" s="664"/>
      <c r="BA51" s="664"/>
      <c r="BB51" s="664"/>
      <c r="BC51" s="664"/>
      <c r="BD51" s="664"/>
      <c r="BE51" s="664"/>
      <c r="BF51" s="664"/>
      <c r="BG51" s="664"/>
      <c r="BH51" s="664"/>
      <c r="BI51" s="664"/>
      <c r="BJ51" s="664"/>
      <c r="BK51" s="664"/>
      <c r="BL51" s="664"/>
      <c r="BM51" s="664"/>
      <c r="BN51" s="664"/>
      <c r="BO51" s="664"/>
      <c r="BP51" s="664"/>
      <c r="BQ51" s="672">
        <f>IF(CI41=1,CJ41,0)</f>
        <v>0</v>
      </c>
      <c r="BR51" s="664"/>
      <c r="BS51" s="664"/>
      <c r="BT51" s="664"/>
      <c r="BU51" s="664"/>
      <c r="BV51" s="664"/>
      <c r="BW51" s="664"/>
      <c r="BX51" s="664"/>
      <c r="BY51" s="664"/>
      <c r="BZ51" s="664"/>
      <c r="CA51" s="664"/>
    </row>
    <row r="52" spans="1:79" ht="15" customHeight="1">
      <c r="A52" s="3">
        <f>IF(CI45&gt;=1,1,0)</f>
        <v>0</v>
      </c>
      <c r="B52" s="677" t="str">
        <f>""&amp;Riqualificazione!L55&amp;""&amp;Riqualificazione!L56&amp;""&amp;Riqualificazione!L57&amp;""&amp;Riqualificazione!L58&amp;""&amp;Riqualificazione!L59&amp;""&amp;Riqualificazione!L60&amp;""&amp;CH45&amp;" "&amp;Riqualificazione!F29&amp;" €;"</f>
        <v>      varie e imprevisti, 0 €;</v>
      </c>
      <c r="C52" s="677"/>
      <c r="D52" s="677"/>
      <c r="E52" s="677"/>
      <c r="F52" s="677"/>
      <c r="G52" s="677"/>
      <c r="H52" s="677"/>
      <c r="I52" s="677"/>
      <c r="J52" s="677"/>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677"/>
      <c r="AJ52" s="677"/>
      <c r="AK52" s="677"/>
      <c r="AL52" s="677"/>
      <c r="AM52" s="677"/>
      <c r="AN52" s="677"/>
      <c r="AO52" s="677"/>
      <c r="AP52" s="677"/>
      <c r="AQ52" s="677"/>
      <c r="AR52" s="677"/>
      <c r="AS52" s="677"/>
      <c r="AT52" s="677"/>
      <c r="AU52" s="677"/>
      <c r="AV52" s="677"/>
      <c r="AW52" s="677"/>
      <c r="AX52" s="677"/>
      <c r="AY52" s="677"/>
      <c r="AZ52" s="677"/>
      <c r="BA52" s="677"/>
      <c r="BB52" s="677"/>
      <c r="BC52" s="677"/>
      <c r="BD52" s="677"/>
      <c r="BE52" s="677"/>
      <c r="BF52" s="677"/>
      <c r="BG52" s="677"/>
      <c r="BH52" s="677"/>
      <c r="BI52" s="677"/>
      <c r="BJ52" s="677"/>
      <c r="BK52" s="677"/>
      <c r="BL52" s="677"/>
      <c r="BM52" s="677"/>
      <c r="BN52" s="677"/>
      <c r="BO52" s="677"/>
      <c r="BP52" s="677"/>
      <c r="BQ52" s="664"/>
      <c r="BR52" s="664"/>
      <c r="BS52" s="664"/>
      <c r="BT52" s="664"/>
      <c r="BU52" s="664"/>
      <c r="BV52" s="664"/>
      <c r="BW52" s="664"/>
      <c r="BX52" s="664"/>
      <c r="BY52" s="664"/>
      <c r="BZ52" s="664"/>
      <c r="CA52" s="664"/>
    </row>
    <row r="53" spans="1:79" ht="15" customHeight="1">
      <c r="A53" s="3">
        <f>IF(CI45&gt;=1,1,0)</f>
        <v>0</v>
      </c>
      <c r="B53" s="677"/>
      <c r="C53" s="677"/>
      <c r="D53" s="677"/>
      <c r="E53" s="677"/>
      <c r="F53" s="677"/>
      <c r="G53" s="677"/>
      <c r="H53" s="677"/>
      <c r="I53" s="677"/>
      <c r="J53" s="677"/>
      <c r="K53" s="677"/>
      <c r="L53" s="677"/>
      <c r="M53" s="677"/>
      <c r="N53" s="677"/>
      <c r="O53" s="677"/>
      <c r="P53" s="677"/>
      <c r="Q53" s="677"/>
      <c r="R53" s="677"/>
      <c r="S53" s="677"/>
      <c r="T53" s="677"/>
      <c r="U53" s="677"/>
      <c r="V53" s="677"/>
      <c r="W53" s="677"/>
      <c r="X53" s="677"/>
      <c r="Y53" s="677"/>
      <c r="Z53" s="677"/>
      <c r="AA53" s="677"/>
      <c r="AB53" s="677"/>
      <c r="AC53" s="677"/>
      <c r="AD53" s="677"/>
      <c r="AE53" s="677"/>
      <c r="AF53" s="677"/>
      <c r="AG53" s="677"/>
      <c r="AH53" s="677"/>
      <c r="AI53" s="677"/>
      <c r="AJ53" s="677"/>
      <c r="AK53" s="677"/>
      <c r="AL53" s="677"/>
      <c r="AM53" s="677"/>
      <c r="AN53" s="677"/>
      <c r="AO53" s="677"/>
      <c r="AP53" s="677"/>
      <c r="AQ53" s="677"/>
      <c r="AR53" s="677"/>
      <c r="AS53" s="677"/>
      <c r="AT53" s="677"/>
      <c r="AU53" s="677"/>
      <c r="AV53" s="677"/>
      <c r="AW53" s="677"/>
      <c r="AX53" s="677"/>
      <c r="AY53" s="677"/>
      <c r="AZ53" s="677"/>
      <c r="BA53" s="677"/>
      <c r="BB53" s="677"/>
      <c r="BC53" s="677"/>
      <c r="BD53" s="677"/>
      <c r="BE53" s="677"/>
      <c r="BF53" s="677"/>
      <c r="BG53" s="677"/>
      <c r="BH53" s="677"/>
      <c r="BI53" s="677"/>
      <c r="BJ53" s="677"/>
      <c r="BK53" s="677"/>
      <c r="BL53" s="677"/>
      <c r="BM53" s="677"/>
      <c r="BN53" s="677"/>
      <c r="BO53" s="677"/>
      <c r="BP53" s="677"/>
      <c r="BQ53" s="664"/>
      <c r="BR53" s="664"/>
      <c r="BS53" s="664"/>
      <c r="BT53" s="664"/>
      <c r="BU53" s="664"/>
      <c r="BV53" s="664"/>
      <c r="BW53" s="664"/>
      <c r="BX53" s="664"/>
      <c r="BY53" s="664"/>
      <c r="BZ53" s="664"/>
      <c r="CA53" s="664"/>
    </row>
    <row r="54" spans="1:79" ht="15" customHeight="1">
      <c r="A54" s="3">
        <f>IF(CI45&gt;=2,1,0)</f>
        <v>0</v>
      </c>
      <c r="B54" s="677"/>
      <c r="C54" s="677"/>
      <c r="D54" s="677"/>
      <c r="E54" s="677"/>
      <c r="F54" s="677"/>
      <c r="G54" s="677"/>
      <c r="H54" s="677"/>
      <c r="I54" s="677"/>
      <c r="J54" s="677"/>
      <c r="K54" s="677"/>
      <c r="L54" s="677"/>
      <c r="M54" s="677"/>
      <c r="N54" s="677"/>
      <c r="O54" s="677"/>
      <c r="P54" s="677"/>
      <c r="Q54" s="677"/>
      <c r="R54" s="677"/>
      <c r="S54" s="677"/>
      <c r="T54" s="677"/>
      <c r="U54" s="677"/>
      <c r="V54" s="677"/>
      <c r="W54" s="677"/>
      <c r="X54" s="677"/>
      <c r="Y54" s="677"/>
      <c r="Z54" s="677"/>
      <c r="AA54" s="677"/>
      <c r="AB54" s="677"/>
      <c r="AC54" s="677"/>
      <c r="AD54" s="677"/>
      <c r="AE54" s="677"/>
      <c r="AF54" s="677"/>
      <c r="AG54" s="677"/>
      <c r="AH54" s="677"/>
      <c r="AI54" s="677"/>
      <c r="AJ54" s="677"/>
      <c r="AK54" s="677"/>
      <c r="AL54" s="677"/>
      <c r="AM54" s="677"/>
      <c r="AN54" s="677"/>
      <c r="AO54" s="677"/>
      <c r="AP54" s="677"/>
      <c r="AQ54" s="677"/>
      <c r="AR54" s="677"/>
      <c r="AS54" s="677"/>
      <c r="AT54" s="677"/>
      <c r="AU54" s="677"/>
      <c r="AV54" s="677"/>
      <c r="AW54" s="677"/>
      <c r="AX54" s="677"/>
      <c r="AY54" s="677"/>
      <c r="AZ54" s="677"/>
      <c r="BA54" s="677"/>
      <c r="BB54" s="677"/>
      <c r="BC54" s="677"/>
      <c r="BD54" s="677"/>
      <c r="BE54" s="677"/>
      <c r="BF54" s="677"/>
      <c r="BG54" s="677"/>
      <c r="BH54" s="677"/>
      <c r="BI54" s="677"/>
      <c r="BJ54" s="677"/>
      <c r="BK54" s="677"/>
      <c r="BL54" s="677"/>
      <c r="BM54" s="677"/>
      <c r="BN54" s="677"/>
      <c r="BO54" s="677"/>
      <c r="BP54" s="677"/>
      <c r="BQ54" s="664"/>
      <c r="BR54" s="664"/>
      <c r="BS54" s="664"/>
      <c r="BT54" s="664"/>
      <c r="BU54" s="664"/>
      <c r="BV54" s="664"/>
      <c r="BW54" s="664"/>
      <c r="BX54" s="664"/>
      <c r="BY54" s="664"/>
      <c r="BZ54" s="664"/>
      <c r="CA54" s="664"/>
    </row>
    <row r="55" spans="1:79" ht="15" customHeight="1">
      <c r="A55" s="3">
        <f>IF(CI45&gt;=4,1,0)</f>
        <v>0</v>
      </c>
      <c r="B55" s="677"/>
      <c r="C55" s="677"/>
      <c r="D55" s="677"/>
      <c r="E55" s="677"/>
      <c r="F55" s="677"/>
      <c r="G55" s="677"/>
      <c r="H55" s="677"/>
      <c r="I55" s="677"/>
      <c r="J55" s="677"/>
      <c r="K55" s="677"/>
      <c r="L55" s="677"/>
      <c r="M55" s="677"/>
      <c r="N55" s="677"/>
      <c r="O55" s="677"/>
      <c r="P55" s="677"/>
      <c r="Q55" s="677"/>
      <c r="R55" s="677"/>
      <c r="S55" s="677"/>
      <c r="T55" s="677"/>
      <c r="U55" s="677"/>
      <c r="V55" s="677"/>
      <c r="W55" s="677"/>
      <c r="X55" s="677"/>
      <c r="Y55" s="677"/>
      <c r="Z55" s="677"/>
      <c r="AA55" s="677"/>
      <c r="AB55" s="677"/>
      <c r="AC55" s="677"/>
      <c r="AD55" s="677"/>
      <c r="AE55" s="677"/>
      <c r="AF55" s="677"/>
      <c r="AG55" s="677"/>
      <c r="AH55" s="677"/>
      <c r="AI55" s="677"/>
      <c r="AJ55" s="677"/>
      <c r="AK55" s="677"/>
      <c r="AL55" s="677"/>
      <c r="AM55" s="677"/>
      <c r="AN55" s="677"/>
      <c r="AO55" s="677"/>
      <c r="AP55" s="677"/>
      <c r="AQ55" s="677"/>
      <c r="AR55" s="677"/>
      <c r="AS55" s="677"/>
      <c r="AT55" s="677"/>
      <c r="AU55" s="677"/>
      <c r="AV55" s="677"/>
      <c r="AW55" s="677"/>
      <c r="AX55" s="677"/>
      <c r="AY55" s="677"/>
      <c r="AZ55" s="677"/>
      <c r="BA55" s="677"/>
      <c r="BB55" s="677"/>
      <c r="BC55" s="677"/>
      <c r="BD55" s="677"/>
      <c r="BE55" s="677"/>
      <c r="BF55" s="677"/>
      <c r="BG55" s="677"/>
      <c r="BH55" s="677"/>
      <c r="BI55" s="677"/>
      <c r="BJ55" s="677"/>
      <c r="BK55" s="677"/>
      <c r="BL55" s="677"/>
      <c r="BM55" s="677"/>
      <c r="BN55" s="677"/>
      <c r="BO55" s="677"/>
      <c r="BP55" s="677"/>
      <c r="BQ55" s="664"/>
      <c r="BR55" s="664"/>
      <c r="BS55" s="664"/>
      <c r="BT55" s="664"/>
      <c r="BU55" s="664"/>
      <c r="BV55" s="664"/>
      <c r="BW55" s="664"/>
      <c r="BX55" s="664"/>
      <c r="BY55" s="664"/>
      <c r="BZ55" s="664"/>
      <c r="CA55" s="664"/>
    </row>
    <row r="56" spans="1:79" ht="15" customHeight="1">
      <c r="A56" s="3">
        <f>IF(CI45&gt;=5,1,0)</f>
        <v>0</v>
      </c>
      <c r="B56" s="677"/>
      <c r="C56" s="677"/>
      <c r="D56" s="677"/>
      <c r="E56" s="677"/>
      <c r="F56" s="677"/>
      <c r="G56" s="677"/>
      <c r="H56" s="677"/>
      <c r="I56" s="677"/>
      <c r="J56" s="677"/>
      <c r="K56" s="677"/>
      <c r="L56" s="677"/>
      <c r="M56" s="677"/>
      <c r="N56" s="677"/>
      <c r="O56" s="677"/>
      <c r="P56" s="677"/>
      <c r="Q56" s="677"/>
      <c r="R56" s="677"/>
      <c r="S56" s="677"/>
      <c r="T56" s="677"/>
      <c r="U56" s="677"/>
      <c r="V56" s="677"/>
      <c r="W56" s="677"/>
      <c r="X56" s="677"/>
      <c r="Y56" s="677"/>
      <c r="Z56" s="677"/>
      <c r="AA56" s="677"/>
      <c r="AB56" s="677"/>
      <c r="AC56" s="677"/>
      <c r="AD56" s="677"/>
      <c r="AE56" s="677"/>
      <c r="AF56" s="677"/>
      <c r="AG56" s="677"/>
      <c r="AH56" s="677"/>
      <c r="AI56" s="677"/>
      <c r="AJ56" s="677"/>
      <c r="AK56" s="677"/>
      <c r="AL56" s="677"/>
      <c r="AM56" s="677"/>
      <c r="AN56" s="677"/>
      <c r="AO56" s="677"/>
      <c r="AP56" s="677"/>
      <c r="AQ56" s="677"/>
      <c r="AR56" s="677"/>
      <c r="AS56" s="677"/>
      <c r="AT56" s="677"/>
      <c r="AU56" s="677"/>
      <c r="AV56" s="677"/>
      <c r="AW56" s="677"/>
      <c r="AX56" s="677"/>
      <c r="AY56" s="677"/>
      <c r="AZ56" s="677"/>
      <c r="BA56" s="677"/>
      <c r="BB56" s="677"/>
      <c r="BC56" s="677"/>
      <c r="BD56" s="677"/>
      <c r="BE56" s="677"/>
      <c r="BF56" s="677"/>
      <c r="BG56" s="677"/>
      <c r="BH56" s="677"/>
      <c r="BI56" s="677"/>
      <c r="BJ56" s="677"/>
      <c r="BK56" s="677"/>
      <c r="BL56" s="677"/>
      <c r="BM56" s="677"/>
      <c r="BN56" s="677"/>
      <c r="BO56" s="677"/>
      <c r="BP56" s="677"/>
      <c r="BQ56" s="664"/>
      <c r="BR56" s="664"/>
      <c r="BS56" s="664"/>
      <c r="BT56" s="664"/>
      <c r="BU56" s="664"/>
      <c r="BV56" s="664"/>
      <c r="BW56" s="664"/>
      <c r="BX56" s="664"/>
      <c r="BY56" s="664"/>
      <c r="BZ56" s="664"/>
      <c r="CA56" s="664"/>
    </row>
    <row r="57" spans="1:79" ht="15" customHeight="1">
      <c r="A57" s="3">
        <f>IF(CI45&gt;=6,1,0)</f>
        <v>0</v>
      </c>
      <c r="B57" s="677"/>
      <c r="C57" s="677"/>
      <c r="D57" s="677"/>
      <c r="E57" s="677"/>
      <c r="F57" s="677"/>
      <c r="G57" s="677"/>
      <c r="H57" s="677"/>
      <c r="I57" s="677"/>
      <c r="J57" s="677"/>
      <c r="K57" s="677"/>
      <c r="L57" s="677"/>
      <c r="M57" s="677"/>
      <c r="N57" s="677"/>
      <c r="O57" s="677"/>
      <c r="P57" s="677"/>
      <c r="Q57" s="677"/>
      <c r="R57" s="677"/>
      <c r="S57" s="677"/>
      <c r="T57" s="677"/>
      <c r="U57" s="677"/>
      <c r="V57" s="677"/>
      <c r="W57" s="677"/>
      <c r="X57" s="677"/>
      <c r="Y57" s="677"/>
      <c r="Z57" s="677"/>
      <c r="AA57" s="677"/>
      <c r="AB57" s="677"/>
      <c r="AC57" s="677"/>
      <c r="AD57" s="677"/>
      <c r="AE57" s="677"/>
      <c r="AF57" s="677"/>
      <c r="AG57" s="677"/>
      <c r="AH57" s="677"/>
      <c r="AI57" s="677"/>
      <c r="AJ57" s="677"/>
      <c r="AK57" s="677"/>
      <c r="AL57" s="677"/>
      <c r="AM57" s="677"/>
      <c r="AN57" s="677"/>
      <c r="AO57" s="677"/>
      <c r="AP57" s="677"/>
      <c r="AQ57" s="677"/>
      <c r="AR57" s="677"/>
      <c r="AS57" s="677"/>
      <c r="AT57" s="677"/>
      <c r="AU57" s="677"/>
      <c r="AV57" s="677"/>
      <c r="AW57" s="677"/>
      <c r="AX57" s="677"/>
      <c r="AY57" s="677"/>
      <c r="AZ57" s="677"/>
      <c r="BA57" s="677"/>
      <c r="BB57" s="677"/>
      <c r="BC57" s="677"/>
      <c r="BD57" s="677"/>
      <c r="BE57" s="677"/>
      <c r="BF57" s="677"/>
      <c r="BG57" s="677"/>
      <c r="BH57" s="677"/>
      <c r="BI57" s="677"/>
      <c r="BJ57" s="677"/>
      <c r="BK57" s="677"/>
      <c r="BL57" s="677"/>
      <c r="BM57" s="677"/>
      <c r="BN57" s="677"/>
      <c r="BO57" s="677"/>
      <c r="BP57" s="677"/>
      <c r="BQ57" s="664"/>
      <c r="BR57" s="664"/>
      <c r="BS57" s="664"/>
      <c r="BT57" s="664"/>
      <c r="BU57" s="664"/>
      <c r="BV57" s="664"/>
      <c r="BW57" s="664"/>
      <c r="BX57" s="664"/>
      <c r="BY57" s="664"/>
      <c r="BZ57" s="664"/>
      <c r="CA57" s="664"/>
    </row>
    <row r="58" spans="1:79" ht="19.5" customHeight="1">
      <c r="A58" s="3">
        <f>IF(Simulatore!BB29=3,1,0)</f>
        <v>0</v>
      </c>
      <c r="B58" s="677" t="s">
        <v>891</v>
      </c>
      <c r="C58" s="677"/>
      <c r="D58" s="677"/>
      <c r="E58" s="677"/>
      <c r="F58" s="677"/>
      <c r="G58" s="677"/>
      <c r="H58" s="677"/>
      <c r="I58" s="677"/>
      <c r="J58" s="677"/>
      <c r="K58" s="677"/>
      <c r="L58" s="677"/>
      <c r="M58" s="677"/>
      <c r="N58" s="677"/>
      <c r="O58" s="677"/>
      <c r="P58" s="677"/>
      <c r="Q58" s="677"/>
      <c r="R58" s="677"/>
      <c r="S58" s="677"/>
      <c r="T58" s="677"/>
      <c r="U58" s="677"/>
      <c r="V58" s="677"/>
      <c r="W58" s="677"/>
      <c r="X58" s="677"/>
      <c r="Y58" s="677"/>
      <c r="Z58" s="677"/>
      <c r="AA58" s="677"/>
      <c r="AB58" s="677"/>
      <c r="AC58" s="677"/>
      <c r="AD58" s="677"/>
      <c r="AE58" s="677"/>
      <c r="AF58" s="677"/>
      <c r="AG58" s="677"/>
      <c r="AH58" s="677"/>
      <c r="AI58" s="677"/>
      <c r="AJ58" s="677"/>
      <c r="AK58" s="677"/>
      <c r="AL58" s="677"/>
      <c r="AM58" s="677"/>
      <c r="AN58" s="677"/>
      <c r="AO58" s="677"/>
      <c r="AP58" s="677"/>
      <c r="AQ58" s="677"/>
      <c r="AR58" s="677"/>
      <c r="AS58" s="677"/>
      <c r="AT58" s="677"/>
      <c r="AU58" s="677"/>
      <c r="AV58" s="677"/>
      <c r="AW58" s="677"/>
      <c r="AX58" s="677"/>
      <c r="AY58" s="677"/>
      <c r="AZ58" s="677"/>
      <c r="BA58" s="677"/>
      <c r="BB58" s="677"/>
      <c r="BC58" s="677"/>
      <c r="BD58" s="677"/>
      <c r="BE58" s="677"/>
      <c r="BF58" s="677"/>
      <c r="BG58" s="677"/>
      <c r="BH58" s="677"/>
      <c r="BI58" s="677"/>
      <c r="BJ58" s="677"/>
      <c r="BK58" s="677"/>
      <c r="BL58" s="677"/>
      <c r="BM58" s="677"/>
      <c r="BN58" s="677"/>
      <c r="BO58" s="677"/>
      <c r="BP58" s="677"/>
      <c r="BQ58" s="672">
        <f>Simulatore!BD29</f>
        <v>0</v>
      </c>
      <c r="BR58" s="732"/>
      <c r="BS58" s="732"/>
      <c r="BT58" s="732"/>
      <c r="BU58" s="732"/>
      <c r="BV58" s="732"/>
      <c r="BW58" s="732"/>
      <c r="BX58" s="732"/>
      <c r="BY58" s="732"/>
      <c r="BZ58" s="732"/>
      <c r="CA58" s="732"/>
    </row>
    <row r="59" spans="1:79" ht="19.5" customHeight="1">
      <c r="A59" s="3">
        <f>IF(BQ59=0,0,1)</f>
        <v>0</v>
      </c>
      <c r="B59" s="674" t="s">
        <v>843</v>
      </c>
      <c r="C59" s="697"/>
      <c r="D59" s="697"/>
      <c r="E59" s="697"/>
      <c r="F59" s="697"/>
      <c r="G59" s="697"/>
      <c r="H59" s="697"/>
      <c r="I59" s="697"/>
      <c r="J59" s="697"/>
      <c r="K59" s="697"/>
      <c r="L59" s="697"/>
      <c r="M59" s="697"/>
      <c r="N59" s="697"/>
      <c r="O59" s="697"/>
      <c r="P59" s="697"/>
      <c r="Q59" s="697"/>
      <c r="R59" s="697"/>
      <c r="S59" s="669" t="str">
        <f>"da "&amp;A!K214&amp;" kWh, autoconsumo fino al "&amp;A!K215&amp;"%"</f>
        <v>da 9,2 kWh, autoconsumo fino al 33%</v>
      </c>
      <c r="T59" s="670"/>
      <c r="U59" s="670"/>
      <c r="V59" s="670"/>
      <c r="W59" s="670"/>
      <c r="X59" s="670"/>
      <c r="Y59" s="670"/>
      <c r="Z59" s="670"/>
      <c r="AA59" s="670"/>
      <c r="AB59" s="670"/>
      <c r="AC59" s="670"/>
      <c r="AD59" s="671"/>
      <c r="AE59" s="671"/>
      <c r="AF59" s="671"/>
      <c r="AG59" s="671"/>
      <c r="AH59" s="671"/>
      <c r="AI59" s="671"/>
      <c r="AJ59" s="671"/>
      <c r="AK59" s="671"/>
      <c r="AL59" s="671"/>
      <c r="AM59" s="671"/>
      <c r="AN59" s="671"/>
      <c r="AO59" s="671"/>
      <c r="AP59" s="671"/>
      <c r="AQ59" s="671"/>
      <c r="AR59" s="671"/>
      <c r="AS59" s="671"/>
      <c r="AT59" s="671"/>
      <c r="AU59" s="671"/>
      <c r="AV59" s="671"/>
      <c r="AW59" s="671"/>
      <c r="AX59" s="671"/>
      <c r="AY59" s="671"/>
      <c r="AZ59" s="671"/>
      <c r="BA59" s="671"/>
      <c r="BB59" s="671"/>
      <c r="BC59" s="671"/>
      <c r="BD59" s="671"/>
      <c r="BE59" s="671"/>
      <c r="BF59" s="671"/>
      <c r="BG59" s="671"/>
      <c r="BH59" s="671"/>
      <c r="BI59" s="671"/>
      <c r="BJ59" s="671"/>
      <c r="BK59" s="671"/>
      <c r="BL59" s="671"/>
      <c r="BM59" s="671"/>
      <c r="BN59" s="671"/>
      <c r="BO59" s="671"/>
      <c r="BP59" s="671"/>
      <c r="BQ59" s="672">
        <f>A!K212</f>
        <v>0</v>
      </c>
      <c r="BR59" s="672"/>
      <c r="BS59" s="672"/>
      <c r="BT59" s="672"/>
      <c r="BU59" s="672"/>
      <c r="BV59" s="672"/>
      <c r="BW59" s="672"/>
      <c r="BX59" s="672"/>
      <c r="BY59" s="672"/>
      <c r="BZ59" s="672"/>
      <c r="CA59" s="672"/>
    </row>
    <row r="60" spans="1:79" ht="19.5" customHeight="1">
      <c r="A60" s="3">
        <f>IF(B60=0,0,1)</f>
        <v>0</v>
      </c>
      <c r="B60" s="693">
        <f>Simulatore!D69</f>
        <v>0</v>
      </c>
      <c r="C60" s="671"/>
      <c r="D60" s="671"/>
      <c r="E60" s="671"/>
      <c r="F60" s="671"/>
      <c r="G60" s="671"/>
      <c r="H60" s="671"/>
      <c r="I60" s="671"/>
      <c r="J60" s="671"/>
      <c r="K60" s="671"/>
      <c r="L60" s="671"/>
      <c r="M60" s="671"/>
      <c r="N60" s="671"/>
      <c r="O60" s="671"/>
      <c r="P60" s="669">
        <f>Simulatore!F69</f>
        <v>0</v>
      </c>
      <c r="Q60" s="670"/>
      <c r="R60" s="670"/>
      <c r="S60" s="670"/>
      <c r="T60" s="670"/>
      <c r="U60" s="670"/>
      <c r="V60" s="670"/>
      <c r="W60" s="670"/>
      <c r="X60" s="670"/>
      <c r="Y60" s="670"/>
      <c r="Z60" s="670"/>
      <c r="AA60" s="671"/>
      <c r="AB60" s="671"/>
      <c r="AC60" s="671"/>
      <c r="AD60" s="671"/>
      <c r="AE60" s="671"/>
      <c r="AF60" s="671"/>
      <c r="AG60" s="671"/>
      <c r="AH60" s="671"/>
      <c r="AI60" s="671"/>
      <c r="AJ60" s="671"/>
      <c r="AK60" s="671"/>
      <c r="AL60" s="671"/>
      <c r="AM60" s="671"/>
      <c r="AN60" s="671"/>
      <c r="AO60" s="671"/>
      <c r="AP60" s="671"/>
      <c r="AQ60" s="671"/>
      <c r="AR60" s="671"/>
      <c r="AS60" s="671"/>
      <c r="AT60" s="671"/>
      <c r="AU60" s="671"/>
      <c r="AV60" s="671"/>
      <c r="AW60" s="671"/>
      <c r="AX60" s="671"/>
      <c r="AY60" s="671"/>
      <c r="AZ60" s="671"/>
      <c r="BA60" s="671"/>
      <c r="BB60" s="671"/>
      <c r="BC60" s="671"/>
      <c r="BD60" s="671"/>
      <c r="BE60" s="671"/>
      <c r="BF60" s="671"/>
      <c r="BG60" s="671"/>
      <c r="BH60" s="671"/>
      <c r="BI60" s="671"/>
      <c r="BJ60" s="671"/>
      <c r="BK60" s="671"/>
      <c r="BL60" s="671"/>
      <c r="BM60" s="671"/>
      <c r="BN60" s="671"/>
      <c r="BO60" s="671"/>
      <c r="BP60" s="671"/>
      <c r="BQ60" s="672">
        <f>Simulatore!C69</f>
        <v>0.1</v>
      </c>
      <c r="BR60" s="673"/>
      <c r="BS60" s="673"/>
      <c r="BT60" s="673"/>
      <c r="BU60" s="673"/>
      <c r="BV60" s="673"/>
      <c r="BW60" s="673"/>
      <c r="BX60" s="673"/>
      <c r="BY60" s="673"/>
      <c r="BZ60" s="673"/>
      <c r="CA60" s="673"/>
    </row>
    <row r="61" spans="1:84" ht="16.5" customHeight="1">
      <c r="A61" s="3">
        <v>1</v>
      </c>
      <c r="B61" s="721" t="s">
        <v>892</v>
      </c>
      <c r="C61" s="695"/>
      <c r="D61" s="695"/>
      <c r="E61" s="695"/>
      <c r="F61" s="695"/>
      <c r="G61" s="695"/>
      <c r="H61" s="695"/>
      <c r="I61" s="695"/>
      <c r="J61" s="695"/>
      <c r="K61" s="695"/>
      <c r="L61" s="695"/>
      <c r="M61" s="695"/>
      <c r="N61" s="695"/>
      <c r="O61" s="695"/>
      <c r="P61" s="695"/>
      <c r="Q61" s="695"/>
      <c r="R61" s="695"/>
      <c r="S61" s="695"/>
      <c r="T61" s="695"/>
      <c r="U61" s="695"/>
      <c r="V61" s="695"/>
      <c r="W61" s="695"/>
      <c r="X61" s="695"/>
      <c r="Y61" s="695"/>
      <c r="Z61" s="695"/>
      <c r="AA61" s="695"/>
      <c r="AB61" s="695"/>
      <c r="AC61" s="695"/>
      <c r="AD61" s="695"/>
      <c r="AE61" s="695"/>
      <c r="AF61" s="695"/>
      <c r="AG61" s="695"/>
      <c r="AH61" s="695"/>
      <c r="AI61" s="695"/>
      <c r="AJ61" s="695"/>
      <c r="AK61" s="695"/>
      <c r="AL61" s="695"/>
      <c r="AM61" s="695"/>
      <c r="AN61" s="695"/>
      <c r="AO61" s="695"/>
      <c r="AP61" s="695"/>
      <c r="AQ61" s="695"/>
      <c r="AR61" s="695"/>
      <c r="AS61" s="695"/>
      <c r="AT61" s="695"/>
      <c r="AU61" s="695"/>
      <c r="AV61" s="695"/>
      <c r="AW61" s="695"/>
      <c r="AX61" s="695"/>
      <c r="AY61" s="695"/>
      <c r="AZ61" s="695"/>
      <c r="BA61" s="695"/>
      <c r="BB61" s="695"/>
      <c r="BC61" s="695"/>
      <c r="BD61" s="695"/>
      <c r="BE61" s="695"/>
      <c r="BF61" s="695"/>
      <c r="BG61" s="695"/>
      <c r="BH61" s="695"/>
      <c r="BI61" s="695"/>
      <c r="BJ61" s="695"/>
      <c r="BK61" s="695"/>
      <c r="BL61" s="695"/>
      <c r="BM61" s="695"/>
      <c r="BN61" s="695"/>
      <c r="BO61" s="695"/>
      <c r="BP61" s="695"/>
      <c r="BQ61" s="672">
        <f>BQ46+BQ48+BQ50+BQ51+BQ58+BQ59+BQ60</f>
        <v>15590.743152676796</v>
      </c>
      <c r="BR61" s="672"/>
      <c r="BS61" s="672"/>
      <c r="BT61" s="672"/>
      <c r="BU61" s="672"/>
      <c r="BV61" s="672"/>
      <c r="BW61" s="672"/>
      <c r="BX61" s="672"/>
      <c r="BY61" s="672"/>
      <c r="BZ61" s="672"/>
      <c r="CA61" s="672"/>
      <c r="CF61" s="261"/>
    </row>
    <row r="62" spans="1:88" ht="18.75" customHeight="1">
      <c r="A62" s="3">
        <v>1</v>
      </c>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CE62" s="286">
        <f>CE63*100</f>
        <v>64.98779419706587</v>
      </c>
      <c r="CF62" s="3">
        <f>FLOOR(CE62,1)</f>
        <v>64</v>
      </c>
      <c r="CG62" s="281" t="e">
        <f>FLOOR(CG63,1)</f>
        <v>#NUM!</v>
      </c>
      <c r="CH62" s="3">
        <f>FLOOR(CH63,0.1)</f>
        <v>18.900000000000002</v>
      </c>
      <c r="CI62" s="3">
        <f>CEILING(CI63,0.1)</f>
        <v>33.1</v>
      </c>
      <c r="CJ62" s="264">
        <f>FLOOR(CJ63,0.1)</f>
        <v>100</v>
      </c>
    </row>
    <row r="63" spans="1:88" ht="16.5" customHeight="1">
      <c r="A63" s="3">
        <v>1</v>
      </c>
      <c r="B63" s="667" t="s">
        <v>857</v>
      </c>
      <c r="C63" s="664"/>
      <c r="D63" s="664"/>
      <c r="E63" s="664"/>
      <c r="F63" s="664"/>
      <c r="G63" s="664"/>
      <c r="H63" s="664"/>
      <c r="I63" s="668" t="str">
        <f>"COSTI/BENEFICI NEI "&amp;CF120&amp;" ANNI"</f>
        <v>COSTI/BENEFICI NEI 20 ANNI</v>
      </c>
      <c r="J63" s="664"/>
      <c r="K63" s="664"/>
      <c r="L63" s="664"/>
      <c r="M63" s="664"/>
      <c r="N63" s="664"/>
      <c r="O63" s="664"/>
      <c r="P63" s="664"/>
      <c r="Q63" s="664"/>
      <c r="R63" s="664"/>
      <c r="S63" s="664"/>
      <c r="T63" s="664"/>
      <c r="U63" s="664"/>
      <c r="V63" s="664"/>
      <c r="W63" s="664"/>
      <c r="X63" s="664"/>
      <c r="Y63" s="664"/>
      <c r="Z63" s="664"/>
      <c r="AA63" s="664"/>
      <c r="AB63" s="664"/>
      <c r="AC63" s="664"/>
      <c r="AD63" s="664"/>
      <c r="AE63" s="664"/>
      <c r="AF63" s="664"/>
      <c r="AG63" s="664"/>
      <c r="AH63" s="664"/>
      <c r="AI63" s="664"/>
      <c r="AJ63" s="664"/>
      <c r="AK63" s="664"/>
      <c r="AL63" s="8"/>
      <c r="AM63" s="728" t="s">
        <v>160</v>
      </c>
      <c r="AN63" s="664"/>
      <c r="AO63" s="664"/>
      <c r="AP63" s="664"/>
      <c r="AQ63" s="664"/>
      <c r="AR63" s="664"/>
      <c r="AS63" s="664"/>
      <c r="AT63" s="664"/>
      <c r="AV63" s="728" t="s">
        <v>810</v>
      </c>
      <c r="AW63" s="664"/>
      <c r="AX63" s="664"/>
      <c r="AY63" s="664"/>
      <c r="AZ63" s="664"/>
      <c r="BA63" s="664"/>
      <c r="BB63" s="664"/>
      <c r="BC63" s="664"/>
      <c r="BD63" s="8"/>
      <c r="BE63" s="8"/>
      <c r="BF63" s="661" t="s">
        <v>808</v>
      </c>
      <c r="BG63" s="664"/>
      <c r="BH63" s="664"/>
      <c r="BI63" s="664"/>
      <c r="BJ63" s="664"/>
      <c r="BK63" s="664"/>
      <c r="BL63" s="664"/>
      <c r="BM63" s="664"/>
      <c r="BN63" s="664"/>
      <c r="BO63" s="664"/>
      <c r="BP63" s="664"/>
      <c r="BQ63" s="664"/>
      <c r="BR63" s="664"/>
      <c r="BS63" s="664"/>
      <c r="BT63" s="664"/>
      <c r="BU63" s="664"/>
      <c r="BV63" s="664"/>
      <c r="BW63" s="664"/>
      <c r="BX63" s="664"/>
      <c r="BY63" s="664"/>
      <c r="BZ63" s="664"/>
      <c r="CA63" s="664"/>
      <c r="CD63" s="293">
        <f>B!D29</f>
        <v>24698.317085570707</v>
      </c>
      <c r="CE63" s="286">
        <f>AM72/CD63</f>
        <v>0.6498779419706586</v>
      </c>
      <c r="CF63" s="286">
        <f>IF(CE63&gt;=1,100,CF62)</f>
        <v>64</v>
      </c>
      <c r="CG63" s="294">
        <f>(AM72-CD63)/1000</f>
        <v>-8.64742560786126</v>
      </c>
      <c r="CH63" s="264">
        <f>BV67*100</f>
        <v>18.964395282070857</v>
      </c>
      <c r="CI63" s="264">
        <f>BU64*100</f>
        <v>33.013291634089136</v>
      </c>
      <c r="CJ63" s="3">
        <f>A!K68*100</f>
        <v>100</v>
      </c>
    </row>
    <row r="64" spans="1:116" ht="16.5" customHeight="1">
      <c r="A64" s="3">
        <v>1</v>
      </c>
      <c r="B64" s="698" t="str">
        <f>B45</f>
        <v>Riepilogo INVESTIMENTI INIZIALI 1° ANNO</v>
      </c>
      <c r="C64" s="698"/>
      <c r="D64" s="698"/>
      <c r="E64" s="698"/>
      <c r="F64" s="698"/>
      <c r="G64" s="698"/>
      <c r="H64" s="698"/>
      <c r="I64" s="698"/>
      <c r="J64" s="698"/>
      <c r="K64" s="698"/>
      <c r="L64" s="698"/>
      <c r="M64" s="698"/>
      <c r="N64" s="698"/>
      <c r="O64" s="698"/>
      <c r="P64" s="698"/>
      <c r="Q64" s="698"/>
      <c r="R64" s="698"/>
      <c r="S64" s="698"/>
      <c r="T64" s="698"/>
      <c r="U64" s="698"/>
      <c r="V64" s="698"/>
      <c r="W64" s="698"/>
      <c r="X64" s="698"/>
      <c r="Y64" s="698"/>
      <c r="Z64" s="698"/>
      <c r="AA64" s="698"/>
      <c r="AB64" s="698"/>
      <c r="AC64" s="698"/>
      <c r="AD64" s="698"/>
      <c r="AE64" s="698"/>
      <c r="AF64" s="698"/>
      <c r="AG64" s="698"/>
      <c r="AH64" s="698"/>
      <c r="AI64" s="657"/>
      <c r="AJ64" s="657"/>
      <c r="AK64" s="657"/>
      <c r="AL64" s="8"/>
      <c r="AM64" s="691">
        <f>BQ61</f>
        <v>15590.743152676796</v>
      </c>
      <c r="AN64" s="664"/>
      <c r="AO64" s="664"/>
      <c r="AP64" s="664"/>
      <c r="AQ64" s="664"/>
      <c r="AR64" s="664"/>
      <c r="AS64" s="664"/>
      <c r="AT64" s="664"/>
      <c r="AU64" s="8"/>
      <c r="AV64" s="691"/>
      <c r="AW64" s="664"/>
      <c r="AX64" s="664"/>
      <c r="AY64" s="664"/>
      <c r="AZ64" s="664"/>
      <c r="BA64" s="664"/>
      <c r="BB64" s="664"/>
      <c r="BC64" s="664"/>
      <c r="BD64" s="8"/>
      <c r="BE64" s="8"/>
      <c r="BF64" s="685" t="str">
        <f>Simulatore!M20</f>
        <v>AUTONOMIA ENERGETICA dell'abitazione</v>
      </c>
      <c r="BG64" s="657"/>
      <c r="BH64" s="657"/>
      <c r="BI64" s="657"/>
      <c r="BJ64" s="657"/>
      <c r="BK64" s="657"/>
      <c r="BL64" s="657"/>
      <c r="BM64" s="657"/>
      <c r="BN64" s="657"/>
      <c r="BO64" s="657"/>
      <c r="BP64" s="657"/>
      <c r="BQ64" s="657"/>
      <c r="BR64" s="657"/>
      <c r="BS64" s="657"/>
      <c r="BT64" s="657"/>
      <c r="BU64" s="733">
        <f>Simulatore!U20</f>
        <v>0.33013291634089137</v>
      </c>
      <c r="BV64" s="664"/>
      <c r="BW64" s="664"/>
      <c r="BX64" s="664"/>
      <c r="BY64" s="664"/>
      <c r="BZ64" s="664"/>
      <c r="CA64" s="664"/>
      <c r="CC64" s="295"/>
      <c r="CD64" s="271" t="str">
        <f>"- L'energia elettrica prodotta dall'impianto fotovoltaico porta al "&amp;CJ62&amp;"% l'autonomia sul fabbisogno elettrico."</f>
        <v>- L'energia elettrica prodotta dall'impianto fotovoltaico porta al 100% l'autonomia sul fabbisogno elettrico.</v>
      </c>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row>
    <row r="65" spans="1:82" ht="16.5" customHeight="1">
      <c r="A65" s="3">
        <v>1</v>
      </c>
      <c r="B65" s="698" t="str">
        <f>Simulatore!M9</f>
        <v>Costo INTERESSI</v>
      </c>
      <c r="C65" s="698"/>
      <c r="D65" s="698"/>
      <c r="E65" s="698"/>
      <c r="F65" s="698"/>
      <c r="G65" s="698"/>
      <c r="H65" s="698"/>
      <c r="I65" s="698"/>
      <c r="J65" s="698"/>
      <c r="K65" s="698"/>
      <c r="L65" s="698"/>
      <c r="M65" s="698"/>
      <c r="N65" s="698"/>
      <c r="O65" s="698"/>
      <c r="P65" s="698"/>
      <c r="Q65" s="698"/>
      <c r="R65" s="698"/>
      <c r="S65" s="698"/>
      <c r="T65" s="698"/>
      <c r="U65" s="698"/>
      <c r="V65" s="698"/>
      <c r="W65" s="698"/>
      <c r="X65" s="698"/>
      <c r="Y65" s="698"/>
      <c r="Z65" s="698"/>
      <c r="AA65" s="698"/>
      <c r="AB65" s="698"/>
      <c r="AC65" s="698"/>
      <c r="AD65" s="698"/>
      <c r="AE65" s="698"/>
      <c r="AF65" s="698"/>
      <c r="AG65" s="698"/>
      <c r="AH65" s="698"/>
      <c r="AI65" s="664"/>
      <c r="AJ65" s="664"/>
      <c r="AK65" s="664"/>
      <c r="AL65" s="8"/>
      <c r="AM65" s="691">
        <f>Simulatore!U9</f>
        <v>7363.156338927631</v>
      </c>
      <c r="AN65" s="664"/>
      <c r="AO65" s="664"/>
      <c r="AP65" s="664"/>
      <c r="AQ65" s="664"/>
      <c r="AR65" s="664"/>
      <c r="AS65" s="664"/>
      <c r="AT65" s="664"/>
      <c r="AU65" s="8"/>
      <c r="AV65" s="691"/>
      <c r="AW65" s="664"/>
      <c r="AX65" s="664"/>
      <c r="AY65" s="664"/>
      <c r="AZ65" s="664"/>
      <c r="BA65" s="664"/>
      <c r="BB65" s="664"/>
      <c r="BC65" s="664"/>
      <c r="BD65" s="8"/>
      <c r="BE65" s="8"/>
      <c r="BF65" s="657"/>
      <c r="BG65" s="657"/>
      <c r="BH65" s="657"/>
      <c r="BI65" s="657"/>
      <c r="BJ65" s="657"/>
      <c r="BK65" s="657"/>
      <c r="BL65" s="657"/>
      <c r="BM65" s="657"/>
      <c r="BN65" s="657"/>
      <c r="BO65" s="657"/>
      <c r="BP65" s="657"/>
      <c r="BQ65" s="657"/>
      <c r="BR65" s="657"/>
      <c r="BS65" s="657"/>
      <c r="BT65" s="657"/>
      <c r="BU65" s="664"/>
      <c r="BV65" s="664"/>
      <c r="BW65" s="664"/>
      <c r="BX65" s="664"/>
      <c r="BY65" s="664"/>
      <c r="BZ65" s="664"/>
      <c r="CA65" s="664"/>
      <c r="CD65" s="267" t="str">
        <f>"- Gli interventi di risparmio energetico, in assieme, portano ad una autonomia del "&amp;CI62&amp;"% sul fabbisogno energetico."</f>
        <v>- Gli interventi di risparmio energetico, in assieme, portano ad una autonomia del 33,1% sul fabbisogno energetico.</v>
      </c>
    </row>
    <row r="66" spans="1:82" ht="16.5" customHeight="1">
      <c r="A66" s="3">
        <v>1</v>
      </c>
      <c r="B66" s="698" t="str">
        <f>Simulatore!M10</f>
        <v>Costo MANUTENZIONE (assicurazione,  ecc.)</v>
      </c>
      <c r="C66" s="698"/>
      <c r="D66" s="698"/>
      <c r="E66" s="698"/>
      <c r="F66" s="698"/>
      <c r="G66" s="698"/>
      <c r="H66" s="698"/>
      <c r="I66" s="698"/>
      <c r="J66" s="698"/>
      <c r="K66" s="698"/>
      <c r="L66" s="698"/>
      <c r="M66" s="698"/>
      <c r="N66" s="698"/>
      <c r="O66" s="698"/>
      <c r="P66" s="698"/>
      <c r="Q66" s="698"/>
      <c r="R66" s="698"/>
      <c r="S66" s="698"/>
      <c r="T66" s="698"/>
      <c r="U66" s="698"/>
      <c r="V66" s="698"/>
      <c r="W66" s="698"/>
      <c r="X66" s="698"/>
      <c r="Y66" s="698"/>
      <c r="Z66" s="698"/>
      <c r="AA66" s="698"/>
      <c r="AB66" s="698"/>
      <c r="AC66" s="698"/>
      <c r="AD66" s="698"/>
      <c r="AE66" s="698"/>
      <c r="AF66" s="698"/>
      <c r="AG66" s="698"/>
      <c r="AH66" s="698"/>
      <c r="AI66" s="664"/>
      <c r="AJ66" s="664"/>
      <c r="AK66" s="664"/>
      <c r="AL66" s="8"/>
      <c r="AM66" s="691">
        <f>Simulatore!U10</f>
        <v>5826.6294631171695</v>
      </c>
      <c r="AN66" s="664"/>
      <c r="AO66" s="664"/>
      <c r="AP66" s="664"/>
      <c r="AQ66" s="664"/>
      <c r="AR66" s="664"/>
      <c r="AS66" s="664"/>
      <c r="AT66" s="664"/>
      <c r="AU66" s="8"/>
      <c r="AV66" s="691"/>
      <c r="AW66" s="664"/>
      <c r="AX66" s="664"/>
      <c r="AY66" s="664"/>
      <c r="AZ66" s="664"/>
      <c r="BA66" s="664"/>
      <c r="BB66" s="664"/>
      <c r="BC66" s="664"/>
      <c r="BD66" s="8"/>
      <c r="BE66" s="8"/>
      <c r="BF66" s="657"/>
      <c r="BG66" s="657"/>
      <c r="BH66" s="657"/>
      <c r="BI66" s="657"/>
      <c r="BJ66" s="657"/>
      <c r="BK66" s="657"/>
      <c r="BL66" s="657"/>
      <c r="BM66" s="657"/>
      <c r="BN66" s="657"/>
      <c r="BO66" s="657"/>
      <c r="BP66" s="657"/>
      <c r="BQ66" s="657"/>
      <c r="BR66" s="657"/>
      <c r="BS66" s="657"/>
      <c r="BT66" s="657"/>
      <c r="BU66" s="664"/>
      <c r="BV66" s="664"/>
      <c r="BW66" s="664"/>
      <c r="BX66" s="664"/>
      <c r="BY66" s="664"/>
      <c r="BZ66" s="664"/>
      <c r="CA66" s="664"/>
      <c r="CD66" s="3" t="e">
        <f>"- Con gli investimenti ipotizzati, il costo della bolletta dell'energia elettrica viene coperta al "&amp;CF63&amp;"% dai guadagni in "&amp;CF120&amp;" anni, il rimanente guadagno va a ridurre di "&amp;CG62&amp;".000 euro i costi di riscaldamento. Il costo totale della bolletta energetica (energia elettrica + riscaldamento) si riduce del "&amp;CH62&amp;"%.  "</f>
        <v>#NUM!</v>
      </c>
    </row>
    <row r="67" spans="1:82" ht="16.5" customHeight="1">
      <c r="A67" s="3">
        <v>1</v>
      </c>
      <c r="B67" s="698" t="str">
        <f>Simulatore!M14</f>
        <v>Risparmi SGRAVI FISCALI</v>
      </c>
      <c r="C67" s="698"/>
      <c r="D67" s="698"/>
      <c r="E67" s="698"/>
      <c r="F67" s="698"/>
      <c r="G67" s="698"/>
      <c r="H67" s="698"/>
      <c r="I67" s="698"/>
      <c r="J67" s="698"/>
      <c r="K67" s="698"/>
      <c r="L67" s="698"/>
      <c r="M67" s="698"/>
      <c r="N67" s="698"/>
      <c r="O67" s="698"/>
      <c r="P67" s="698"/>
      <c r="Q67" s="698"/>
      <c r="R67" s="698"/>
      <c r="S67" s="698"/>
      <c r="T67" s="698"/>
      <c r="U67" s="698"/>
      <c r="V67" s="698"/>
      <c r="W67" s="698"/>
      <c r="X67" s="698"/>
      <c r="Y67" s="698"/>
      <c r="Z67" s="698"/>
      <c r="AA67" s="698"/>
      <c r="AB67" s="698"/>
      <c r="AC67" s="698"/>
      <c r="AD67" s="698"/>
      <c r="AE67" s="698"/>
      <c r="AF67" s="698"/>
      <c r="AG67" s="698"/>
      <c r="AH67" s="698"/>
      <c r="AI67" s="664"/>
      <c r="AJ67" s="664"/>
      <c r="AK67" s="664"/>
      <c r="AL67" s="8"/>
      <c r="AM67" s="691"/>
      <c r="AN67" s="664"/>
      <c r="AO67" s="664"/>
      <c r="AP67" s="664"/>
      <c r="AQ67" s="664"/>
      <c r="AR67" s="664"/>
      <c r="AS67" s="664"/>
      <c r="AT67" s="664"/>
      <c r="AU67" s="8"/>
      <c r="AV67" s="691">
        <f>Simulatore!U14</f>
        <v>8020.321576338398</v>
      </c>
      <c r="AW67" s="664"/>
      <c r="AX67" s="664"/>
      <c r="AY67" s="664"/>
      <c r="AZ67" s="664"/>
      <c r="BA67" s="664"/>
      <c r="BB67" s="664"/>
      <c r="BC67" s="664"/>
      <c r="BD67" s="8"/>
      <c r="BE67" s="8"/>
      <c r="BF67" s="696" t="s">
        <v>809</v>
      </c>
      <c r="BG67" s="657"/>
      <c r="BH67" s="657"/>
      <c r="BI67" s="657"/>
      <c r="BJ67" s="657"/>
      <c r="BK67" s="657"/>
      <c r="BL67" s="657"/>
      <c r="BM67" s="657"/>
      <c r="BN67" s="657"/>
      <c r="BO67" s="657"/>
      <c r="BP67" s="657"/>
      <c r="BQ67" s="657"/>
      <c r="BR67" s="657"/>
      <c r="BS67" s="657"/>
      <c r="BT67" s="657"/>
      <c r="BU67" s="657"/>
      <c r="BV67" s="731">
        <f>Simulatore!U24</f>
        <v>0.18964395282070856</v>
      </c>
      <c r="BW67" s="731"/>
      <c r="BX67" s="731"/>
      <c r="BY67" s="731"/>
      <c r="BZ67" s="731"/>
      <c r="CA67" s="731"/>
      <c r="CD67" s="3" t="str">
        <f>"- Con gli investimenti ipotizzati, il costo della bolletta dell'energia elettrica viene coperta al "&amp;CF63&amp;"% dai guadagni in "&amp;CF120&amp;" anni. Il costo totale della bolletta energetica (energia elettrica + riscaldamento) si riduce del "&amp;CH62&amp;"%.  "</f>
        <v>- Con gli investimenti ipotizzati, il costo della bolletta dell'energia elettrica viene coperta al 64% dai guadagni in 20 anni. Il costo totale della bolletta energetica (energia elettrica + riscaldamento) si riduce del 18,9%.  </v>
      </c>
    </row>
    <row r="68" spans="1:82" ht="16.5" customHeight="1">
      <c r="A68" s="3">
        <v>1</v>
      </c>
      <c r="B68" s="698" t="str">
        <f>Simulatore!M13</f>
        <v>Entrate INCENTIVI e VENDITA Energia</v>
      </c>
      <c r="C68" s="698"/>
      <c r="D68" s="698"/>
      <c r="E68" s="698"/>
      <c r="F68" s="698"/>
      <c r="G68" s="698"/>
      <c r="H68" s="698"/>
      <c r="I68" s="698"/>
      <c r="J68" s="698"/>
      <c r="K68" s="698"/>
      <c r="L68" s="698"/>
      <c r="M68" s="698"/>
      <c r="N68" s="698"/>
      <c r="O68" s="698"/>
      <c r="P68" s="698"/>
      <c r="Q68" s="698"/>
      <c r="R68" s="698"/>
      <c r="S68" s="698"/>
      <c r="T68" s="698"/>
      <c r="U68" s="698"/>
      <c r="V68" s="698"/>
      <c r="W68" s="698"/>
      <c r="X68" s="698"/>
      <c r="Y68" s="698"/>
      <c r="Z68" s="698"/>
      <c r="AA68" s="698"/>
      <c r="AB68" s="698"/>
      <c r="AC68" s="698"/>
      <c r="AD68" s="698"/>
      <c r="AE68" s="698"/>
      <c r="AF68" s="698"/>
      <c r="AG68" s="698"/>
      <c r="AH68" s="698"/>
      <c r="AI68" s="664"/>
      <c r="AJ68" s="664"/>
      <c r="AK68" s="664"/>
      <c r="AL68" s="8"/>
      <c r="AM68" s="691"/>
      <c r="AN68" s="664"/>
      <c r="AO68" s="664"/>
      <c r="AP68" s="664"/>
      <c r="AQ68" s="664"/>
      <c r="AR68" s="664"/>
      <c r="AS68" s="664"/>
      <c r="AT68" s="664"/>
      <c r="AU68" s="8"/>
      <c r="AV68" s="691">
        <f>Simulatore!U13</f>
        <v>13506.81448022551</v>
      </c>
      <c r="AW68" s="664"/>
      <c r="AX68" s="664"/>
      <c r="AY68" s="664"/>
      <c r="AZ68" s="664"/>
      <c r="BA68" s="664"/>
      <c r="BB68" s="664"/>
      <c r="BC68" s="664"/>
      <c r="BD68" s="8"/>
      <c r="BE68" s="8"/>
      <c r="BF68" s="657"/>
      <c r="BG68" s="657"/>
      <c r="BH68" s="657"/>
      <c r="BI68" s="657"/>
      <c r="BJ68" s="657"/>
      <c r="BK68" s="657"/>
      <c r="BL68" s="657"/>
      <c r="BM68" s="657"/>
      <c r="BN68" s="657"/>
      <c r="BO68" s="657"/>
      <c r="BP68" s="657"/>
      <c r="BQ68" s="657"/>
      <c r="BR68" s="657"/>
      <c r="BS68" s="657"/>
      <c r="BT68" s="657"/>
      <c r="BU68" s="657"/>
      <c r="BV68" s="731"/>
      <c r="BW68" s="731"/>
      <c r="BX68" s="731"/>
      <c r="BY68" s="731"/>
      <c r="BZ68" s="731"/>
      <c r="CA68" s="731"/>
      <c r="CD68" s="267" t="str">
        <f>IF(CG63&lt;=0,CD67,CD66)</f>
        <v>- Con gli investimenti ipotizzati, il costo della bolletta dell'energia elettrica viene coperta al 64% dai guadagni in 20 anni. Il costo totale della bolletta energetica (energia elettrica + riscaldamento) si riduce del 18,9%.  </v>
      </c>
    </row>
    <row r="69" spans="1:79" ht="16.5" customHeight="1">
      <c r="A69" s="3">
        <v>1</v>
      </c>
      <c r="B69" s="698" t="s">
        <v>836</v>
      </c>
      <c r="C69" s="698"/>
      <c r="D69" s="698"/>
      <c r="E69" s="698"/>
      <c r="F69" s="698"/>
      <c r="G69" s="698"/>
      <c r="H69" s="698"/>
      <c r="I69" s="698"/>
      <c r="J69" s="698"/>
      <c r="K69" s="698"/>
      <c r="L69" s="698"/>
      <c r="M69" s="698"/>
      <c r="N69" s="698"/>
      <c r="O69" s="698"/>
      <c r="P69" s="698"/>
      <c r="Q69" s="698"/>
      <c r="R69" s="698"/>
      <c r="S69" s="698"/>
      <c r="T69" s="698"/>
      <c r="U69" s="698"/>
      <c r="V69" s="698"/>
      <c r="W69" s="698"/>
      <c r="X69" s="698"/>
      <c r="Y69" s="698"/>
      <c r="Z69" s="698"/>
      <c r="AA69" s="698"/>
      <c r="AB69" s="698"/>
      <c r="AC69" s="698"/>
      <c r="AD69" s="698"/>
      <c r="AE69" s="698"/>
      <c r="AF69" s="698"/>
      <c r="AG69" s="698"/>
      <c r="AH69" s="698"/>
      <c r="AI69" s="664"/>
      <c r="AJ69" s="664"/>
      <c r="AK69" s="664"/>
      <c r="AL69" s="8"/>
      <c r="AM69" s="691"/>
      <c r="AN69" s="664"/>
      <c r="AO69" s="664"/>
      <c r="AP69" s="664"/>
      <c r="AQ69" s="664"/>
      <c r="AR69" s="664"/>
      <c r="AS69" s="664"/>
      <c r="AT69" s="664"/>
      <c r="AU69" s="8"/>
      <c r="AV69" s="691">
        <f>Simulatore!O16-Simulatore!U16</f>
        <v>14816.833597474277</v>
      </c>
      <c r="AW69" s="664"/>
      <c r="AX69" s="664"/>
      <c r="AY69" s="664"/>
      <c r="AZ69" s="664"/>
      <c r="BA69" s="664"/>
      <c r="BB69" s="664"/>
      <c r="BC69" s="664"/>
      <c r="BD69" s="8"/>
      <c r="BE69" s="8"/>
      <c r="BF69" s="696" t="s">
        <v>893</v>
      </c>
      <c r="BG69" s="657"/>
      <c r="BH69" s="657"/>
      <c r="BI69" s="657"/>
      <c r="BJ69" s="657"/>
      <c r="BK69" s="657"/>
      <c r="BL69" s="657"/>
      <c r="BM69" s="657"/>
      <c r="BN69" s="657"/>
      <c r="BO69" s="657"/>
      <c r="BP69" s="657"/>
      <c r="BQ69" s="657"/>
      <c r="BR69" s="657"/>
      <c r="BS69" s="657"/>
      <c r="BT69" s="694">
        <f>Simulatore!O30-Simulatore!U30</f>
        <v>66048</v>
      </c>
      <c r="BU69" s="695"/>
      <c r="BV69" s="695"/>
      <c r="BW69" s="695"/>
      <c r="BX69" s="695"/>
      <c r="BY69" s="695"/>
      <c r="BZ69" s="695"/>
      <c r="CA69" s="695"/>
    </row>
    <row r="70" spans="1:79" ht="16.5" customHeight="1">
      <c r="A70" s="3">
        <v>1</v>
      </c>
      <c r="B70" s="698" t="s">
        <v>807</v>
      </c>
      <c r="C70" s="698"/>
      <c r="D70" s="698"/>
      <c r="E70" s="698"/>
      <c r="F70" s="698"/>
      <c r="G70" s="698"/>
      <c r="H70" s="698"/>
      <c r="I70" s="698"/>
      <c r="J70" s="698"/>
      <c r="K70" s="698"/>
      <c r="L70" s="698"/>
      <c r="M70" s="698"/>
      <c r="N70" s="698"/>
      <c r="O70" s="698"/>
      <c r="P70" s="698"/>
      <c r="Q70" s="698"/>
      <c r="R70" s="698"/>
      <c r="S70" s="698"/>
      <c r="T70" s="698"/>
      <c r="U70" s="698"/>
      <c r="V70" s="698"/>
      <c r="W70" s="698"/>
      <c r="X70" s="698"/>
      <c r="Y70" s="698"/>
      <c r="Z70" s="698"/>
      <c r="AA70" s="698"/>
      <c r="AB70" s="698"/>
      <c r="AC70" s="698"/>
      <c r="AD70" s="698"/>
      <c r="AE70" s="698"/>
      <c r="AF70" s="698"/>
      <c r="AG70" s="698"/>
      <c r="AH70" s="698"/>
      <c r="AI70" s="664"/>
      <c r="AJ70" s="664"/>
      <c r="AK70" s="664"/>
      <c r="AL70" s="8"/>
      <c r="AM70" s="691"/>
      <c r="AN70" s="664"/>
      <c r="AO70" s="664"/>
      <c r="AP70" s="664"/>
      <c r="AQ70" s="664"/>
      <c r="AR70" s="664"/>
      <c r="AS70" s="664"/>
      <c r="AT70" s="664"/>
      <c r="AU70" s="8"/>
      <c r="AV70" s="691">
        <f>Simulatore!O11-Simulatore!U11+Simulatore!O12-Simulatore!U12</f>
        <v>8487.450778392855</v>
      </c>
      <c r="AW70" s="664"/>
      <c r="AX70" s="664"/>
      <c r="AY70" s="664"/>
      <c r="AZ70" s="664"/>
      <c r="BA70" s="664"/>
      <c r="BB70" s="664"/>
      <c r="BC70" s="664"/>
      <c r="BD70" s="8"/>
      <c r="BE70" s="8"/>
      <c r="BF70" s="657"/>
      <c r="BG70" s="657"/>
      <c r="BH70" s="657"/>
      <c r="BI70" s="657"/>
      <c r="BJ70" s="657"/>
      <c r="BK70" s="657"/>
      <c r="BL70" s="657"/>
      <c r="BM70" s="657"/>
      <c r="BN70" s="657"/>
      <c r="BO70" s="657"/>
      <c r="BP70" s="657"/>
      <c r="BQ70" s="657"/>
      <c r="BR70" s="657"/>
      <c r="BS70" s="657"/>
      <c r="BT70" s="695"/>
      <c r="BU70" s="695"/>
      <c r="BV70" s="695"/>
      <c r="BW70" s="695"/>
      <c r="BX70" s="695"/>
      <c r="BY70" s="695"/>
      <c r="BZ70" s="695"/>
      <c r="CA70" s="695"/>
    </row>
    <row r="71" spans="1:79" ht="16.5" customHeight="1">
      <c r="A71" s="3">
        <v>1</v>
      </c>
      <c r="B71" s="688" t="s">
        <v>90</v>
      </c>
      <c r="C71" s="688"/>
      <c r="D71" s="688"/>
      <c r="E71" s="688"/>
      <c r="F71" s="688"/>
      <c r="G71" s="688"/>
      <c r="H71" s="688"/>
      <c r="I71" s="688"/>
      <c r="J71" s="688"/>
      <c r="K71" s="688"/>
      <c r="L71" s="688"/>
      <c r="M71" s="688"/>
      <c r="N71" s="688"/>
      <c r="O71" s="688"/>
      <c r="P71" s="688"/>
      <c r="Q71" s="688"/>
      <c r="R71" s="688"/>
      <c r="S71" s="688"/>
      <c r="T71" s="688"/>
      <c r="U71" s="688"/>
      <c r="V71" s="688"/>
      <c r="W71" s="688"/>
      <c r="X71" s="688"/>
      <c r="Y71" s="688"/>
      <c r="Z71" s="688"/>
      <c r="AA71" s="688"/>
      <c r="AB71" s="688"/>
      <c r="AC71" s="688"/>
      <c r="AD71" s="688"/>
      <c r="AE71" s="688"/>
      <c r="AF71" s="688"/>
      <c r="AG71" s="688"/>
      <c r="AH71" s="688"/>
      <c r="AI71" s="689"/>
      <c r="AJ71" s="689"/>
      <c r="AK71" s="689"/>
      <c r="AL71" s="8"/>
      <c r="AM71" s="692">
        <f>SUM(AM64:AM70)</f>
        <v>28780.528954721594</v>
      </c>
      <c r="AN71" s="689"/>
      <c r="AO71" s="689"/>
      <c r="AP71" s="689"/>
      <c r="AQ71" s="689"/>
      <c r="AR71" s="689"/>
      <c r="AS71" s="689"/>
      <c r="AT71" s="689"/>
      <c r="AU71" s="8"/>
      <c r="AV71" s="700">
        <f>SUM(AV63:AV70)</f>
        <v>44831.42043243104</v>
      </c>
      <c r="AW71" s="689"/>
      <c r="AX71" s="689"/>
      <c r="AY71" s="689"/>
      <c r="AZ71" s="689"/>
      <c r="BA71" s="689"/>
      <c r="BB71" s="689"/>
      <c r="BC71" s="689"/>
      <c r="BD71" s="8"/>
      <c r="BE71" s="8"/>
      <c r="BF71" s="696" t="s">
        <v>894</v>
      </c>
      <c r="BG71" s="657"/>
      <c r="BH71" s="657"/>
      <c r="BI71" s="657"/>
      <c r="BJ71" s="657"/>
      <c r="BK71" s="657"/>
      <c r="BL71" s="657"/>
      <c r="BM71" s="657"/>
      <c r="BN71" s="657"/>
      <c r="BO71" s="657"/>
      <c r="BP71" s="657"/>
      <c r="BQ71" s="657"/>
      <c r="BR71" s="657"/>
      <c r="BS71" s="657"/>
      <c r="BT71" s="657"/>
      <c r="BU71" s="657"/>
      <c r="BV71" s="694">
        <f>Simulatore!O31-Simulatore!U31</f>
        <v>5169.6</v>
      </c>
      <c r="BW71" s="694"/>
      <c r="BX71" s="694"/>
      <c r="BY71" s="694"/>
      <c r="BZ71" s="694"/>
      <c r="CA71" s="694"/>
    </row>
    <row r="72" spans="1:79" ht="16.5" customHeight="1">
      <c r="A72" s="3">
        <v>1</v>
      </c>
      <c r="B72" s="690" t="str">
        <f>Simulatore!M18</f>
        <v>VANTAGGI ECONOMICI NEI 20 ANNI</v>
      </c>
      <c r="C72" s="690"/>
      <c r="D72" s="690"/>
      <c r="E72" s="690"/>
      <c r="F72" s="690"/>
      <c r="G72" s="690"/>
      <c r="H72" s="690"/>
      <c r="I72" s="690"/>
      <c r="J72" s="690"/>
      <c r="K72" s="690"/>
      <c r="L72" s="690"/>
      <c r="M72" s="690"/>
      <c r="N72" s="690"/>
      <c r="O72" s="690"/>
      <c r="P72" s="690"/>
      <c r="Q72" s="690"/>
      <c r="R72" s="690"/>
      <c r="S72" s="690"/>
      <c r="T72" s="690"/>
      <c r="U72" s="690"/>
      <c r="V72" s="690"/>
      <c r="W72" s="690"/>
      <c r="X72" s="690"/>
      <c r="Y72" s="690"/>
      <c r="Z72" s="690"/>
      <c r="AA72" s="690"/>
      <c r="AB72" s="690"/>
      <c r="AC72" s="690"/>
      <c r="AD72" s="690"/>
      <c r="AE72" s="690"/>
      <c r="AF72" s="690"/>
      <c r="AG72" s="690"/>
      <c r="AH72" s="690"/>
      <c r="AI72" s="690"/>
      <c r="AJ72" s="690"/>
      <c r="AK72" s="690"/>
      <c r="AL72" s="272"/>
      <c r="AM72" s="699">
        <f>AV71-AM71</f>
        <v>16050.891477709447</v>
      </c>
      <c r="AN72" s="699"/>
      <c r="AO72" s="699"/>
      <c r="AP72" s="699"/>
      <c r="AQ72" s="699"/>
      <c r="AR72" s="699"/>
      <c r="AS72" s="699"/>
      <c r="AT72" s="699"/>
      <c r="AU72" s="699"/>
      <c r="AV72" s="699"/>
      <c r="AW72" s="699"/>
      <c r="AX72" s="699"/>
      <c r="AY72" s="699"/>
      <c r="AZ72" s="699"/>
      <c r="BA72" s="699"/>
      <c r="BB72" s="699"/>
      <c r="BC72" s="699"/>
      <c r="BD72" s="272"/>
      <c r="BE72" s="272"/>
      <c r="BF72" s="657"/>
      <c r="BG72" s="657"/>
      <c r="BH72" s="657"/>
      <c r="BI72" s="657"/>
      <c r="BJ72" s="657"/>
      <c r="BK72" s="657"/>
      <c r="BL72" s="657"/>
      <c r="BM72" s="657"/>
      <c r="BN72" s="657"/>
      <c r="BO72" s="657"/>
      <c r="BP72" s="657"/>
      <c r="BQ72" s="657"/>
      <c r="BR72" s="657"/>
      <c r="BS72" s="657"/>
      <c r="BT72" s="657"/>
      <c r="BU72" s="657"/>
      <c r="BV72" s="694"/>
      <c r="BW72" s="694"/>
      <c r="BX72" s="694"/>
      <c r="BY72" s="694"/>
      <c r="BZ72" s="694"/>
      <c r="CA72" s="694"/>
    </row>
    <row r="73" spans="1:72" ht="15" customHeight="1">
      <c r="A73" s="3">
        <v>1</v>
      </c>
      <c r="B73" s="272"/>
      <c r="C73" s="272"/>
      <c r="D73" s="272"/>
      <c r="E73" s="272"/>
      <c r="F73" s="272"/>
      <c r="G73" s="272"/>
      <c r="H73" s="272"/>
      <c r="I73" s="272"/>
      <c r="J73" s="272"/>
      <c r="K73" s="272"/>
      <c r="L73" s="272"/>
      <c r="M73" s="272"/>
      <c r="N73" s="272"/>
      <c r="O73" s="272"/>
      <c r="P73" s="272"/>
      <c r="Q73" s="272"/>
      <c r="R73" s="272"/>
      <c r="S73" s="272"/>
      <c r="T73" s="272"/>
      <c r="U73" s="272"/>
      <c r="V73" s="272"/>
      <c r="W73" s="272"/>
      <c r="X73" s="272"/>
      <c r="Y73" s="272"/>
      <c r="Z73" s="272"/>
      <c r="AA73" s="272"/>
      <c r="AB73" s="272"/>
      <c r="AC73" s="272"/>
      <c r="AD73" s="272"/>
      <c r="AE73" s="272"/>
      <c r="AF73" s="272"/>
      <c r="AG73" s="272"/>
      <c r="AH73" s="272"/>
      <c r="AI73" s="272"/>
      <c r="AJ73" s="272"/>
      <c r="AK73" s="272"/>
      <c r="AL73" s="272"/>
      <c r="AM73" s="272"/>
      <c r="AN73" s="272"/>
      <c r="AO73" s="272"/>
      <c r="AP73" s="272"/>
      <c r="AQ73" s="272"/>
      <c r="AR73" s="272"/>
      <c r="AS73" s="272"/>
      <c r="AT73" s="272"/>
      <c r="AU73" s="272"/>
      <c r="AV73" s="272"/>
      <c r="AW73" s="272"/>
      <c r="AX73" s="272"/>
      <c r="AY73" s="272"/>
      <c r="AZ73" s="272"/>
      <c r="BA73" s="272"/>
      <c r="BB73" s="272"/>
      <c r="BC73" s="272"/>
      <c r="BD73" s="272"/>
      <c r="BE73" s="272"/>
      <c r="BF73" s="272"/>
      <c r="BG73" s="272"/>
      <c r="BH73" s="272"/>
      <c r="BI73" s="272"/>
      <c r="BJ73" s="272"/>
      <c r="BK73" s="272"/>
      <c r="BL73" s="272"/>
      <c r="BM73" s="272"/>
      <c r="BN73" s="272"/>
      <c r="BO73" s="272"/>
      <c r="BP73" s="272"/>
      <c r="BQ73" s="272"/>
      <c r="BR73" s="272"/>
      <c r="BS73" s="272"/>
      <c r="BT73" s="272"/>
    </row>
    <row r="74" spans="1:79" ht="15" customHeight="1">
      <c r="A74" s="3">
        <v>1</v>
      </c>
      <c r="B74" s="272"/>
      <c r="C74" s="702" t="s">
        <v>877</v>
      </c>
      <c r="D74" s="689"/>
      <c r="E74" s="689"/>
      <c r="F74" s="689"/>
      <c r="G74" s="689"/>
      <c r="H74" s="689"/>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row>
    <row r="75" spans="1:80" ht="15" customHeight="1">
      <c r="A75" s="3">
        <v>1</v>
      </c>
      <c r="B75" s="8"/>
      <c r="C75" s="656" t="str">
        <f>""&amp;CD64&amp;"
"&amp;CD65&amp;"
"&amp;CD68&amp;""</f>
        <v>- L'energia elettrica prodotta dall'impianto fotovoltaico porta al 100% l'autonomia sul fabbisogno elettrico.
- Gli interventi di risparmio energetico, in assieme, portano ad una autonomia del 33,1% sul fabbisogno energetico.
- Con gli investimenti ipotizzati, il costo della bolletta dell'energia elettrica viene coperta al 64% dai guadagni in 20 anni. Il costo totale della bolletta energetica (energia elettrica + riscaldamento) si riduce del 18,9%.  </v>
      </c>
      <c r="D75" s="656"/>
      <c r="E75" s="656"/>
      <c r="F75" s="656"/>
      <c r="G75" s="656"/>
      <c r="H75" s="656"/>
      <c r="I75" s="656"/>
      <c r="J75" s="656"/>
      <c r="K75" s="656"/>
      <c r="L75" s="656"/>
      <c r="M75" s="656"/>
      <c r="N75" s="656"/>
      <c r="O75" s="656"/>
      <c r="P75" s="656"/>
      <c r="Q75" s="656"/>
      <c r="R75" s="656"/>
      <c r="S75" s="656"/>
      <c r="T75" s="656"/>
      <c r="U75" s="656"/>
      <c r="V75" s="656"/>
      <c r="W75" s="656"/>
      <c r="X75" s="656"/>
      <c r="Y75" s="656"/>
      <c r="Z75" s="656"/>
      <c r="AA75" s="656"/>
      <c r="AB75" s="656"/>
      <c r="AC75" s="656"/>
      <c r="AD75" s="656"/>
      <c r="AE75" s="656"/>
      <c r="AF75" s="656"/>
      <c r="AG75" s="656"/>
      <c r="AH75" s="656"/>
      <c r="AI75" s="656"/>
      <c r="AJ75" s="656"/>
      <c r="AK75" s="656"/>
      <c r="AL75" s="656"/>
      <c r="AM75" s="656"/>
      <c r="AN75" s="656"/>
      <c r="AO75" s="656"/>
      <c r="AP75" s="656"/>
      <c r="AQ75" s="656"/>
      <c r="AR75" s="656"/>
      <c r="AS75" s="656"/>
      <c r="AT75" s="656"/>
      <c r="AU75" s="656"/>
      <c r="AV75" s="656"/>
      <c r="AW75" s="656"/>
      <c r="AX75" s="656"/>
      <c r="AY75" s="656"/>
      <c r="AZ75" s="656"/>
      <c r="BA75" s="656"/>
      <c r="BB75" s="656"/>
      <c r="BC75" s="656"/>
      <c r="BD75" s="656"/>
      <c r="BE75" s="656"/>
      <c r="BF75" s="656"/>
      <c r="BG75" s="656"/>
      <c r="BH75" s="656"/>
      <c r="BI75" s="656"/>
      <c r="BJ75" s="656"/>
      <c r="BK75" s="656"/>
      <c r="BL75" s="656"/>
      <c r="BM75" s="656"/>
      <c r="BN75" s="656"/>
      <c r="BO75" s="656"/>
      <c r="BP75" s="656"/>
      <c r="BQ75" s="656"/>
      <c r="BR75" s="656"/>
      <c r="BS75" s="656"/>
      <c r="BT75" s="656"/>
      <c r="BU75" s="656"/>
      <c r="BV75" s="656"/>
      <c r="BW75" s="656"/>
      <c r="BX75" s="656"/>
      <c r="BY75" s="656"/>
      <c r="BZ75" s="656"/>
      <c r="CA75" s="656"/>
      <c r="CB75" s="8"/>
    </row>
    <row r="76" spans="1:80" ht="15.75" customHeight="1">
      <c r="A76" s="3">
        <f>IF(A46=0,1,0)</f>
        <v>0</v>
      </c>
      <c r="B76" s="8"/>
      <c r="C76" s="656"/>
      <c r="D76" s="656"/>
      <c r="E76" s="656"/>
      <c r="F76" s="656"/>
      <c r="G76" s="656"/>
      <c r="H76" s="656"/>
      <c r="I76" s="656"/>
      <c r="J76" s="656"/>
      <c r="K76" s="656"/>
      <c r="L76" s="656"/>
      <c r="M76" s="656"/>
      <c r="N76" s="656"/>
      <c r="O76" s="656"/>
      <c r="P76" s="656"/>
      <c r="Q76" s="656"/>
      <c r="R76" s="656"/>
      <c r="S76" s="656"/>
      <c r="T76" s="656"/>
      <c r="U76" s="656"/>
      <c r="V76" s="656"/>
      <c r="W76" s="656"/>
      <c r="X76" s="656"/>
      <c r="Y76" s="656"/>
      <c r="Z76" s="656"/>
      <c r="AA76" s="656"/>
      <c r="AB76" s="656"/>
      <c r="AC76" s="656"/>
      <c r="AD76" s="656"/>
      <c r="AE76" s="656"/>
      <c r="AF76" s="656"/>
      <c r="AG76" s="656"/>
      <c r="AH76" s="656"/>
      <c r="AI76" s="656"/>
      <c r="AJ76" s="656"/>
      <c r="AK76" s="656"/>
      <c r="AL76" s="656"/>
      <c r="AM76" s="656"/>
      <c r="AN76" s="656"/>
      <c r="AO76" s="656"/>
      <c r="AP76" s="656"/>
      <c r="AQ76" s="656"/>
      <c r="AR76" s="656"/>
      <c r="AS76" s="656"/>
      <c r="AT76" s="656"/>
      <c r="AU76" s="656"/>
      <c r="AV76" s="656"/>
      <c r="AW76" s="656"/>
      <c r="AX76" s="656"/>
      <c r="AY76" s="656"/>
      <c r="AZ76" s="656"/>
      <c r="BA76" s="656"/>
      <c r="BB76" s="656"/>
      <c r="BC76" s="656"/>
      <c r="BD76" s="656"/>
      <c r="BE76" s="656"/>
      <c r="BF76" s="656"/>
      <c r="BG76" s="656"/>
      <c r="BH76" s="656"/>
      <c r="BI76" s="656"/>
      <c r="BJ76" s="656"/>
      <c r="BK76" s="656"/>
      <c r="BL76" s="656"/>
      <c r="BM76" s="656"/>
      <c r="BN76" s="656"/>
      <c r="BO76" s="656"/>
      <c r="BP76" s="656"/>
      <c r="BQ76" s="656"/>
      <c r="BR76" s="656"/>
      <c r="BS76" s="656"/>
      <c r="BT76" s="656"/>
      <c r="BU76" s="656"/>
      <c r="BV76" s="656"/>
      <c r="BW76" s="656"/>
      <c r="BX76" s="656"/>
      <c r="BY76" s="656"/>
      <c r="BZ76" s="656"/>
      <c r="CA76" s="656"/>
      <c r="CB76" s="8"/>
    </row>
    <row r="77" spans="1:80" ht="15.75" customHeight="1">
      <c r="A77" s="3">
        <f>IF(A46=0,1,0)</f>
        <v>0</v>
      </c>
      <c r="B77" s="282"/>
      <c r="C77" s="656"/>
      <c r="D77" s="656"/>
      <c r="E77" s="656"/>
      <c r="F77" s="656"/>
      <c r="G77" s="656"/>
      <c r="H77" s="656"/>
      <c r="I77" s="656"/>
      <c r="J77" s="656"/>
      <c r="K77" s="656"/>
      <c r="L77" s="656"/>
      <c r="M77" s="656"/>
      <c r="N77" s="656"/>
      <c r="O77" s="656"/>
      <c r="P77" s="656"/>
      <c r="Q77" s="656"/>
      <c r="R77" s="656"/>
      <c r="S77" s="656"/>
      <c r="T77" s="656"/>
      <c r="U77" s="656"/>
      <c r="V77" s="656"/>
      <c r="W77" s="656"/>
      <c r="X77" s="656"/>
      <c r="Y77" s="656"/>
      <c r="Z77" s="656"/>
      <c r="AA77" s="656"/>
      <c r="AB77" s="656"/>
      <c r="AC77" s="656"/>
      <c r="AD77" s="656"/>
      <c r="AE77" s="656"/>
      <c r="AF77" s="656"/>
      <c r="AG77" s="656"/>
      <c r="AH77" s="656"/>
      <c r="AI77" s="656"/>
      <c r="AJ77" s="656"/>
      <c r="AK77" s="656"/>
      <c r="AL77" s="656"/>
      <c r="AM77" s="656"/>
      <c r="AN77" s="656"/>
      <c r="AO77" s="656"/>
      <c r="AP77" s="656"/>
      <c r="AQ77" s="656"/>
      <c r="AR77" s="656"/>
      <c r="AS77" s="656"/>
      <c r="AT77" s="656"/>
      <c r="AU77" s="656"/>
      <c r="AV77" s="656"/>
      <c r="AW77" s="656"/>
      <c r="AX77" s="656"/>
      <c r="AY77" s="656"/>
      <c r="AZ77" s="656"/>
      <c r="BA77" s="656"/>
      <c r="BB77" s="656"/>
      <c r="BC77" s="656"/>
      <c r="BD77" s="656"/>
      <c r="BE77" s="656"/>
      <c r="BF77" s="656"/>
      <c r="BG77" s="656"/>
      <c r="BH77" s="656"/>
      <c r="BI77" s="656"/>
      <c r="BJ77" s="656"/>
      <c r="BK77" s="656"/>
      <c r="BL77" s="656"/>
      <c r="BM77" s="656"/>
      <c r="BN77" s="656"/>
      <c r="BO77" s="656"/>
      <c r="BP77" s="656"/>
      <c r="BQ77" s="656"/>
      <c r="BR77" s="656"/>
      <c r="BS77" s="656"/>
      <c r="BT77" s="656"/>
      <c r="BU77" s="656"/>
      <c r="BV77" s="656"/>
      <c r="BW77" s="656"/>
      <c r="BX77" s="656"/>
      <c r="BY77" s="656"/>
      <c r="BZ77" s="656"/>
      <c r="CA77" s="656"/>
      <c r="CB77" s="8"/>
    </row>
    <row r="78" spans="1:80" ht="15.75" customHeight="1">
      <c r="A78" s="3">
        <f aca="true" t="shared" si="0" ref="A78:A90">IF(A48=0,1,0)</f>
        <v>0</v>
      </c>
      <c r="B78" s="282"/>
      <c r="C78" s="656"/>
      <c r="D78" s="656"/>
      <c r="E78" s="656"/>
      <c r="F78" s="656"/>
      <c r="G78" s="656"/>
      <c r="H78" s="656"/>
      <c r="I78" s="656"/>
      <c r="J78" s="656"/>
      <c r="K78" s="656"/>
      <c r="L78" s="656"/>
      <c r="M78" s="656"/>
      <c r="N78" s="656"/>
      <c r="O78" s="656"/>
      <c r="P78" s="656"/>
      <c r="Q78" s="656"/>
      <c r="R78" s="656"/>
      <c r="S78" s="656"/>
      <c r="T78" s="656"/>
      <c r="U78" s="656"/>
      <c r="V78" s="656"/>
      <c r="W78" s="656"/>
      <c r="X78" s="656"/>
      <c r="Y78" s="656"/>
      <c r="Z78" s="656"/>
      <c r="AA78" s="656"/>
      <c r="AB78" s="656"/>
      <c r="AC78" s="656"/>
      <c r="AD78" s="656"/>
      <c r="AE78" s="656"/>
      <c r="AF78" s="656"/>
      <c r="AG78" s="656"/>
      <c r="AH78" s="656"/>
      <c r="AI78" s="656"/>
      <c r="AJ78" s="656"/>
      <c r="AK78" s="656"/>
      <c r="AL78" s="656"/>
      <c r="AM78" s="656"/>
      <c r="AN78" s="656"/>
      <c r="AO78" s="656"/>
      <c r="AP78" s="656"/>
      <c r="AQ78" s="656"/>
      <c r="AR78" s="656"/>
      <c r="AS78" s="656"/>
      <c r="AT78" s="656"/>
      <c r="AU78" s="656"/>
      <c r="AV78" s="656"/>
      <c r="AW78" s="656"/>
      <c r="AX78" s="656"/>
      <c r="AY78" s="656"/>
      <c r="AZ78" s="656"/>
      <c r="BA78" s="656"/>
      <c r="BB78" s="656"/>
      <c r="BC78" s="656"/>
      <c r="BD78" s="656"/>
      <c r="BE78" s="656"/>
      <c r="BF78" s="656"/>
      <c r="BG78" s="656"/>
      <c r="BH78" s="656"/>
      <c r="BI78" s="656"/>
      <c r="BJ78" s="656"/>
      <c r="BK78" s="656"/>
      <c r="BL78" s="656"/>
      <c r="BM78" s="656"/>
      <c r="BN78" s="656"/>
      <c r="BO78" s="656"/>
      <c r="BP78" s="656"/>
      <c r="BQ78" s="656"/>
      <c r="BR78" s="656"/>
      <c r="BS78" s="656"/>
      <c r="BT78" s="656"/>
      <c r="BU78" s="656"/>
      <c r="BV78" s="656"/>
      <c r="BW78" s="656"/>
      <c r="BX78" s="656"/>
      <c r="BY78" s="656"/>
      <c r="BZ78" s="656"/>
      <c r="CA78" s="656"/>
      <c r="CB78" s="8"/>
    </row>
    <row r="79" spans="1:80" ht="15.75" customHeight="1">
      <c r="A79" s="3">
        <f t="shared" si="0"/>
        <v>0</v>
      </c>
      <c r="B79" s="283"/>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656"/>
      <c r="AP79" s="656"/>
      <c r="AQ79" s="656"/>
      <c r="AR79" s="656"/>
      <c r="AS79" s="656"/>
      <c r="AT79" s="656"/>
      <c r="AU79" s="656"/>
      <c r="AV79" s="656"/>
      <c r="AW79" s="656"/>
      <c r="AX79" s="656"/>
      <c r="AY79" s="656"/>
      <c r="AZ79" s="656"/>
      <c r="BA79" s="656"/>
      <c r="BB79" s="656"/>
      <c r="BC79" s="656"/>
      <c r="BD79" s="656"/>
      <c r="BE79" s="656"/>
      <c r="BF79" s="656"/>
      <c r="BG79" s="656"/>
      <c r="BH79" s="656"/>
      <c r="BI79" s="656"/>
      <c r="BJ79" s="656"/>
      <c r="BK79" s="656"/>
      <c r="BL79" s="656"/>
      <c r="BM79" s="656"/>
      <c r="BN79" s="656"/>
      <c r="BO79" s="656"/>
      <c r="BP79" s="656"/>
      <c r="BQ79" s="656"/>
      <c r="BR79" s="656"/>
      <c r="BS79" s="656"/>
      <c r="BT79" s="656"/>
      <c r="BU79" s="656"/>
      <c r="BV79" s="656"/>
      <c r="BW79" s="656"/>
      <c r="BX79" s="656"/>
      <c r="BY79" s="656"/>
      <c r="BZ79" s="656"/>
      <c r="CA79" s="656"/>
      <c r="CB79" s="8"/>
    </row>
    <row r="80" spans="1:80" ht="19.5" customHeight="1">
      <c r="A80" s="3">
        <f t="shared" si="0"/>
        <v>1</v>
      </c>
      <c r="B80" s="282"/>
      <c r="C80" s="656"/>
      <c r="D80" s="656"/>
      <c r="E80" s="656"/>
      <c r="F80" s="656"/>
      <c r="G80" s="656"/>
      <c r="H80" s="656"/>
      <c r="I80" s="656"/>
      <c r="J80" s="656"/>
      <c r="K80" s="656"/>
      <c r="L80" s="656"/>
      <c r="M80" s="656"/>
      <c r="N80" s="656"/>
      <c r="O80" s="656"/>
      <c r="P80" s="656"/>
      <c r="Q80" s="656"/>
      <c r="R80" s="656"/>
      <c r="S80" s="656"/>
      <c r="T80" s="656"/>
      <c r="U80" s="656"/>
      <c r="V80" s="656"/>
      <c r="W80" s="656"/>
      <c r="X80" s="656"/>
      <c r="Y80" s="656"/>
      <c r="Z80" s="656"/>
      <c r="AA80" s="656"/>
      <c r="AB80" s="656"/>
      <c r="AC80" s="656"/>
      <c r="AD80" s="656"/>
      <c r="AE80" s="656"/>
      <c r="AF80" s="656"/>
      <c r="AG80" s="656"/>
      <c r="AH80" s="656"/>
      <c r="AI80" s="656"/>
      <c r="AJ80" s="656"/>
      <c r="AK80" s="656"/>
      <c r="AL80" s="656"/>
      <c r="AM80" s="656"/>
      <c r="AN80" s="656"/>
      <c r="AO80" s="656"/>
      <c r="AP80" s="656"/>
      <c r="AQ80" s="656"/>
      <c r="AR80" s="656"/>
      <c r="AS80" s="656"/>
      <c r="AT80" s="656"/>
      <c r="AU80" s="656"/>
      <c r="AV80" s="656"/>
      <c r="AW80" s="656"/>
      <c r="AX80" s="656"/>
      <c r="AY80" s="656"/>
      <c r="AZ80" s="656"/>
      <c r="BA80" s="656"/>
      <c r="BB80" s="656"/>
      <c r="BC80" s="656"/>
      <c r="BD80" s="656"/>
      <c r="BE80" s="656"/>
      <c r="BF80" s="656"/>
      <c r="BG80" s="656"/>
      <c r="BH80" s="656"/>
      <c r="BI80" s="656"/>
      <c r="BJ80" s="656"/>
      <c r="BK80" s="656"/>
      <c r="BL80" s="656"/>
      <c r="BM80" s="656"/>
      <c r="BN80" s="656"/>
      <c r="BO80" s="656"/>
      <c r="BP80" s="656"/>
      <c r="BQ80" s="656"/>
      <c r="BR80" s="656"/>
      <c r="BS80" s="656"/>
      <c r="BT80" s="656"/>
      <c r="BU80" s="656"/>
      <c r="BV80" s="656"/>
      <c r="BW80" s="656"/>
      <c r="BX80" s="656"/>
      <c r="BY80" s="656"/>
      <c r="BZ80" s="656"/>
      <c r="CA80" s="656"/>
      <c r="CB80" s="8"/>
    </row>
    <row r="81" spans="1:80" ht="16.5" customHeight="1">
      <c r="A81" s="3">
        <f t="shared" si="0"/>
        <v>1</v>
      </c>
      <c r="B81" s="282"/>
      <c r="C81" s="656"/>
      <c r="D81" s="656"/>
      <c r="E81" s="656"/>
      <c r="F81" s="656"/>
      <c r="G81" s="656"/>
      <c r="H81" s="656"/>
      <c r="I81" s="656"/>
      <c r="J81" s="656"/>
      <c r="K81" s="656"/>
      <c r="L81" s="656"/>
      <c r="M81" s="656"/>
      <c r="N81" s="656"/>
      <c r="O81" s="656"/>
      <c r="P81" s="656"/>
      <c r="Q81" s="656"/>
      <c r="R81" s="656"/>
      <c r="S81" s="656"/>
      <c r="T81" s="656"/>
      <c r="U81" s="656"/>
      <c r="V81" s="656"/>
      <c r="W81" s="656"/>
      <c r="X81" s="656"/>
      <c r="Y81" s="656"/>
      <c r="Z81" s="656"/>
      <c r="AA81" s="656"/>
      <c r="AB81" s="656"/>
      <c r="AC81" s="656"/>
      <c r="AD81" s="656"/>
      <c r="AE81" s="656"/>
      <c r="AF81" s="656"/>
      <c r="AG81" s="656"/>
      <c r="AH81" s="656"/>
      <c r="AI81" s="656"/>
      <c r="AJ81" s="656"/>
      <c r="AK81" s="656"/>
      <c r="AL81" s="656"/>
      <c r="AM81" s="656"/>
      <c r="AN81" s="656"/>
      <c r="AO81" s="656"/>
      <c r="AP81" s="656"/>
      <c r="AQ81" s="656"/>
      <c r="AR81" s="656"/>
      <c r="AS81" s="656"/>
      <c r="AT81" s="656"/>
      <c r="AU81" s="656"/>
      <c r="AV81" s="656"/>
      <c r="AW81" s="656"/>
      <c r="AX81" s="656"/>
      <c r="AY81" s="656"/>
      <c r="AZ81" s="656"/>
      <c r="BA81" s="656"/>
      <c r="BB81" s="656"/>
      <c r="BC81" s="656"/>
      <c r="BD81" s="656"/>
      <c r="BE81" s="656"/>
      <c r="BF81" s="656"/>
      <c r="BG81" s="656"/>
      <c r="BH81" s="656"/>
      <c r="BI81" s="656"/>
      <c r="BJ81" s="656"/>
      <c r="BK81" s="656"/>
      <c r="BL81" s="656"/>
      <c r="BM81" s="656"/>
      <c r="BN81" s="656"/>
      <c r="BO81" s="656"/>
      <c r="BP81" s="656"/>
      <c r="BQ81" s="656"/>
      <c r="BR81" s="656"/>
      <c r="BS81" s="656"/>
      <c r="BT81" s="656"/>
      <c r="BU81" s="656"/>
      <c r="BV81" s="656"/>
      <c r="BW81" s="656"/>
      <c r="BX81" s="656"/>
      <c r="BY81" s="656"/>
      <c r="BZ81" s="656"/>
      <c r="CA81" s="656"/>
      <c r="CB81" s="8"/>
    </row>
    <row r="82" spans="1:80" ht="15" customHeight="1">
      <c r="A82" s="3">
        <f t="shared" si="0"/>
        <v>1</v>
      </c>
      <c r="B82" s="284"/>
      <c r="C82" s="656"/>
      <c r="D82" s="656"/>
      <c r="E82" s="656"/>
      <c r="F82" s="656"/>
      <c r="G82" s="656"/>
      <c r="H82" s="656"/>
      <c r="I82" s="656"/>
      <c r="J82" s="656"/>
      <c r="K82" s="656"/>
      <c r="L82" s="656"/>
      <c r="M82" s="656"/>
      <c r="N82" s="656"/>
      <c r="O82" s="656"/>
      <c r="P82" s="656"/>
      <c r="Q82" s="656"/>
      <c r="R82" s="656"/>
      <c r="S82" s="656"/>
      <c r="T82" s="656"/>
      <c r="U82" s="656"/>
      <c r="V82" s="656"/>
      <c r="W82" s="656"/>
      <c r="X82" s="656"/>
      <c r="Y82" s="656"/>
      <c r="Z82" s="656"/>
      <c r="AA82" s="656"/>
      <c r="AB82" s="656"/>
      <c r="AC82" s="656"/>
      <c r="AD82" s="656"/>
      <c r="AE82" s="656"/>
      <c r="AF82" s="656"/>
      <c r="AG82" s="656"/>
      <c r="AH82" s="656"/>
      <c r="AI82" s="656"/>
      <c r="AJ82" s="656"/>
      <c r="AK82" s="656"/>
      <c r="AL82" s="656"/>
      <c r="AM82" s="656"/>
      <c r="AN82" s="656"/>
      <c r="AO82" s="656"/>
      <c r="AP82" s="656"/>
      <c r="AQ82" s="656"/>
      <c r="AR82" s="656"/>
      <c r="AS82" s="656"/>
      <c r="AT82" s="656"/>
      <c r="AU82" s="656"/>
      <c r="AV82" s="656"/>
      <c r="AW82" s="656"/>
      <c r="AX82" s="656"/>
      <c r="AY82" s="656"/>
      <c r="AZ82" s="656"/>
      <c r="BA82" s="656"/>
      <c r="BB82" s="656"/>
      <c r="BC82" s="656"/>
      <c r="BD82" s="656"/>
      <c r="BE82" s="656"/>
      <c r="BF82" s="656"/>
      <c r="BG82" s="656"/>
      <c r="BH82" s="656"/>
      <c r="BI82" s="656"/>
      <c r="BJ82" s="656"/>
      <c r="BK82" s="656"/>
      <c r="BL82" s="656"/>
      <c r="BM82" s="656"/>
      <c r="BN82" s="656"/>
      <c r="BO82" s="656"/>
      <c r="BP82" s="656"/>
      <c r="BQ82" s="656"/>
      <c r="BR82" s="656"/>
      <c r="BS82" s="656"/>
      <c r="BT82" s="656"/>
      <c r="BU82" s="656"/>
      <c r="BV82" s="656"/>
      <c r="BW82" s="656"/>
      <c r="BX82" s="656"/>
      <c r="BY82" s="656"/>
      <c r="BZ82" s="656"/>
      <c r="CA82" s="656"/>
      <c r="CB82" s="8"/>
    </row>
    <row r="83" spans="1:80" ht="15" customHeight="1">
      <c r="A83" s="3">
        <f t="shared" si="0"/>
        <v>1</v>
      </c>
      <c r="B83" s="284"/>
      <c r="C83" s="656"/>
      <c r="D83" s="656"/>
      <c r="E83" s="656"/>
      <c r="F83" s="656"/>
      <c r="G83" s="656"/>
      <c r="H83" s="656"/>
      <c r="I83" s="656"/>
      <c r="J83" s="656"/>
      <c r="K83" s="656"/>
      <c r="L83" s="656"/>
      <c r="M83" s="656"/>
      <c r="N83" s="656"/>
      <c r="O83" s="656"/>
      <c r="P83" s="656"/>
      <c r="Q83" s="656"/>
      <c r="R83" s="656"/>
      <c r="S83" s="656"/>
      <c r="T83" s="656"/>
      <c r="U83" s="656"/>
      <c r="V83" s="656"/>
      <c r="W83" s="656"/>
      <c r="X83" s="656"/>
      <c r="Y83" s="656"/>
      <c r="Z83" s="656"/>
      <c r="AA83" s="656"/>
      <c r="AB83" s="656"/>
      <c r="AC83" s="656"/>
      <c r="AD83" s="656"/>
      <c r="AE83" s="656"/>
      <c r="AF83" s="656"/>
      <c r="AG83" s="656"/>
      <c r="AH83" s="656"/>
      <c r="AI83" s="656"/>
      <c r="AJ83" s="656"/>
      <c r="AK83" s="656"/>
      <c r="AL83" s="656"/>
      <c r="AM83" s="656"/>
      <c r="AN83" s="656"/>
      <c r="AO83" s="656"/>
      <c r="AP83" s="656"/>
      <c r="AQ83" s="656"/>
      <c r="AR83" s="656"/>
      <c r="AS83" s="656"/>
      <c r="AT83" s="656"/>
      <c r="AU83" s="656"/>
      <c r="AV83" s="656"/>
      <c r="AW83" s="656"/>
      <c r="AX83" s="656"/>
      <c r="AY83" s="656"/>
      <c r="AZ83" s="656"/>
      <c r="BA83" s="656"/>
      <c r="BB83" s="656"/>
      <c r="BC83" s="656"/>
      <c r="BD83" s="656"/>
      <c r="BE83" s="656"/>
      <c r="BF83" s="656"/>
      <c r="BG83" s="656"/>
      <c r="BH83" s="656"/>
      <c r="BI83" s="656"/>
      <c r="BJ83" s="656"/>
      <c r="BK83" s="656"/>
      <c r="BL83" s="656"/>
      <c r="BM83" s="656"/>
      <c r="BN83" s="656"/>
      <c r="BO83" s="656"/>
      <c r="BP83" s="656"/>
      <c r="BQ83" s="656"/>
      <c r="BR83" s="656"/>
      <c r="BS83" s="656"/>
      <c r="BT83" s="656"/>
      <c r="BU83" s="656"/>
      <c r="BV83" s="656"/>
      <c r="BW83" s="656"/>
      <c r="BX83" s="656"/>
      <c r="BY83" s="656"/>
      <c r="BZ83" s="656"/>
      <c r="CA83" s="656"/>
      <c r="CB83" s="8"/>
    </row>
    <row r="84" spans="1:80" ht="15" customHeight="1">
      <c r="A84" s="3">
        <f t="shared" si="0"/>
        <v>1</v>
      </c>
      <c r="B84" s="284"/>
      <c r="C84" s="656"/>
      <c r="D84" s="656"/>
      <c r="E84" s="656"/>
      <c r="F84" s="656"/>
      <c r="G84" s="656"/>
      <c r="H84" s="656"/>
      <c r="I84" s="656"/>
      <c r="J84" s="656"/>
      <c r="K84" s="656"/>
      <c r="L84" s="656"/>
      <c r="M84" s="656"/>
      <c r="N84" s="656"/>
      <c r="O84" s="656"/>
      <c r="P84" s="656"/>
      <c r="Q84" s="656"/>
      <c r="R84" s="656"/>
      <c r="S84" s="656"/>
      <c r="T84" s="656"/>
      <c r="U84" s="656"/>
      <c r="V84" s="656"/>
      <c r="W84" s="656"/>
      <c r="X84" s="656"/>
      <c r="Y84" s="656"/>
      <c r="Z84" s="656"/>
      <c r="AA84" s="656"/>
      <c r="AB84" s="656"/>
      <c r="AC84" s="656"/>
      <c r="AD84" s="656"/>
      <c r="AE84" s="656"/>
      <c r="AF84" s="656"/>
      <c r="AG84" s="656"/>
      <c r="AH84" s="656"/>
      <c r="AI84" s="656"/>
      <c r="AJ84" s="656"/>
      <c r="AK84" s="656"/>
      <c r="AL84" s="656"/>
      <c r="AM84" s="656"/>
      <c r="AN84" s="656"/>
      <c r="AO84" s="656"/>
      <c r="AP84" s="656"/>
      <c r="AQ84" s="656"/>
      <c r="AR84" s="656"/>
      <c r="AS84" s="656"/>
      <c r="AT84" s="656"/>
      <c r="AU84" s="656"/>
      <c r="AV84" s="656"/>
      <c r="AW84" s="656"/>
      <c r="AX84" s="656"/>
      <c r="AY84" s="656"/>
      <c r="AZ84" s="656"/>
      <c r="BA84" s="656"/>
      <c r="BB84" s="656"/>
      <c r="BC84" s="656"/>
      <c r="BD84" s="656"/>
      <c r="BE84" s="656"/>
      <c r="BF84" s="656"/>
      <c r="BG84" s="656"/>
      <c r="BH84" s="656"/>
      <c r="BI84" s="656"/>
      <c r="BJ84" s="656"/>
      <c r="BK84" s="656"/>
      <c r="BL84" s="656"/>
      <c r="BM84" s="656"/>
      <c r="BN84" s="656"/>
      <c r="BO84" s="656"/>
      <c r="BP84" s="656"/>
      <c r="BQ84" s="656"/>
      <c r="BR84" s="656"/>
      <c r="BS84" s="656"/>
      <c r="BT84" s="656"/>
      <c r="BU84" s="656"/>
      <c r="BV84" s="656"/>
      <c r="BW84" s="656"/>
      <c r="BX84" s="656"/>
      <c r="BY84" s="656"/>
      <c r="BZ84" s="656"/>
      <c r="CA84" s="656"/>
      <c r="CB84" s="8"/>
    </row>
    <row r="85" spans="1:80" ht="15" customHeight="1">
      <c r="A85" s="3">
        <f t="shared" si="0"/>
        <v>1</v>
      </c>
      <c r="B85" s="284"/>
      <c r="C85" s="656"/>
      <c r="D85" s="656"/>
      <c r="E85" s="656"/>
      <c r="F85" s="656"/>
      <c r="G85" s="656"/>
      <c r="H85" s="656"/>
      <c r="I85" s="656"/>
      <c r="J85" s="656"/>
      <c r="K85" s="656"/>
      <c r="L85" s="656"/>
      <c r="M85" s="656"/>
      <c r="N85" s="656"/>
      <c r="O85" s="656"/>
      <c r="P85" s="656"/>
      <c r="Q85" s="656"/>
      <c r="R85" s="656"/>
      <c r="S85" s="656"/>
      <c r="T85" s="656"/>
      <c r="U85" s="656"/>
      <c r="V85" s="656"/>
      <c r="W85" s="656"/>
      <c r="X85" s="656"/>
      <c r="Y85" s="656"/>
      <c r="Z85" s="656"/>
      <c r="AA85" s="656"/>
      <c r="AB85" s="656"/>
      <c r="AC85" s="656"/>
      <c r="AD85" s="656"/>
      <c r="AE85" s="656"/>
      <c r="AF85" s="656"/>
      <c r="AG85" s="656"/>
      <c r="AH85" s="656"/>
      <c r="AI85" s="656"/>
      <c r="AJ85" s="656"/>
      <c r="AK85" s="656"/>
      <c r="AL85" s="656"/>
      <c r="AM85" s="656"/>
      <c r="AN85" s="656"/>
      <c r="AO85" s="656"/>
      <c r="AP85" s="656"/>
      <c r="AQ85" s="656"/>
      <c r="AR85" s="656"/>
      <c r="AS85" s="656"/>
      <c r="AT85" s="656"/>
      <c r="AU85" s="656"/>
      <c r="AV85" s="656"/>
      <c r="AW85" s="656"/>
      <c r="AX85" s="656"/>
      <c r="AY85" s="656"/>
      <c r="AZ85" s="656"/>
      <c r="BA85" s="656"/>
      <c r="BB85" s="656"/>
      <c r="BC85" s="656"/>
      <c r="BD85" s="656"/>
      <c r="BE85" s="656"/>
      <c r="BF85" s="656"/>
      <c r="BG85" s="656"/>
      <c r="BH85" s="656"/>
      <c r="BI85" s="656"/>
      <c r="BJ85" s="656"/>
      <c r="BK85" s="656"/>
      <c r="BL85" s="656"/>
      <c r="BM85" s="656"/>
      <c r="BN85" s="656"/>
      <c r="BO85" s="656"/>
      <c r="BP85" s="656"/>
      <c r="BQ85" s="656"/>
      <c r="BR85" s="656"/>
      <c r="BS85" s="656"/>
      <c r="BT85" s="656"/>
      <c r="BU85" s="656"/>
      <c r="BV85" s="656"/>
      <c r="BW85" s="656"/>
      <c r="BX85" s="656"/>
      <c r="BY85" s="656"/>
      <c r="BZ85" s="656"/>
      <c r="CA85" s="656"/>
      <c r="CB85" s="8"/>
    </row>
    <row r="86" spans="1:80" ht="15" customHeight="1">
      <c r="A86" s="3">
        <f t="shared" si="0"/>
        <v>1</v>
      </c>
      <c r="B86" s="284"/>
      <c r="C86" s="656"/>
      <c r="D86" s="656"/>
      <c r="E86" s="656"/>
      <c r="F86" s="656"/>
      <c r="G86" s="656"/>
      <c r="H86" s="656"/>
      <c r="I86" s="656"/>
      <c r="J86" s="656"/>
      <c r="K86" s="656"/>
      <c r="L86" s="656"/>
      <c r="M86" s="656"/>
      <c r="N86" s="656"/>
      <c r="O86" s="656"/>
      <c r="P86" s="656"/>
      <c r="Q86" s="656"/>
      <c r="R86" s="656"/>
      <c r="S86" s="656"/>
      <c r="T86" s="656"/>
      <c r="U86" s="656"/>
      <c r="V86" s="656"/>
      <c r="W86" s="656"/>
      <c r="X86" s="656"/>
      <c r="Y86" s="656"/>
      <c r="Z86" s="656"/>
      <c r="AA86" s="656"/>
      <c r="AB86" s="656"/>
      <c r="AC86" s="656"/>
      <c r="AD86" s="656"/>
      <c r="AE86" s="656"/>
      <c r="AF86" s="656"/>
      <c r="AG86" s="656"/>
      <c r="AH86" s="656"/>
      <c r="AI86" s="656"/>
      <c r="AJ86" s="656"/>
      <c r="AK86" s="656"/>
      <c r="AL86" s="656"/>
      <c r="AM86" s="656"/>
      <c r="AN86" s="656"/>
      <c r="AO86" s="656"/>
      <c r="AP86" s="656"/>
      <c r="AQ86" s="656"/>
      <c r="AR86" s="656"/>
      <c r="AS86" s="656"/>
      <c r="AT86" s="656"/>
      <c r="AU86" s="656"/>
      <c r="AV86" s="656"/>
      <c r="AW86" s="656"/>
      <c r="AX86" s="656"/>
      <c r="AY86" s="656"/>
      <c r="AZ86" s="656"/>
      <c r="BA86" s="656"/>
      <c r="BB86" s="656"/>
      <c r="BC86" s="656"/>
      <c r="BD86" s="656"/>
      <c r="BE86" s="656"/>
      <c r="BF86" s="656"/>
      <c r="BG86" s="656"/>
      <c r="BH86" s="656"/>
      <c r="BI86" s="656"/>
      <c r="BJ86" s="656"/>
      <c r="BK86" s="656"/>
      <c r="BL86" s="656"/>
      <c r="BM86" s="656"/>
      <c r="BN86" s="656"/>
      <c r="BO86" s="656"/>
      <c r="BP86" s="656"/>
      <c r="BQ86" s="656"/>
      <c r="BR86" s="656"/>
      <c r="BS86" s="656"/>
      <c r="BT86" s="656"/>
      <c r="BU86" s="656"/>
      <c r="BV86" s="656"/>
      <c r="BW86" s="656"/>
      <c r="BX86" s="656"/>
      <c r="BY86" s="656"/>
      <c r="BZ86" s="656"/>
      <c r="CA86" s="656"/>
      <c r="CB86" s="8"/>
    </row>
    <row r="87" spans="1:80" ht="15" customHeight="1">
      <c r="A87" s="3">
        <f t="shared" si="0"/>
        <v>1</v>
      </c>
      <c r="B87" s="284"/>
      <c r="C87" s="656"/>
      <c r="D87" s="656"/>
      <c r="E87" s="656"/>
      <c r="F87" s="656"/>
      <c r="G87" s="656"/>
      <c r="H87" s="656"/>
      <c r="I87" s="656"/>
      <c r="J87" s="656"/>
      <c r="K87" s="656"/>
      <c r="L87" s="656"/>
      <c r="M87" s="656"/>
      <c r="N87" s="656"/>
      <c r="O87" s="656"/>
      <c r="P87" s="656"/>
      <c r="Q87" s="656"/>
      <c r="R87" s="656"/>
      <c r="S87" s="656"/>
      <c r="T87" s="656"/>
      <c r="U87" s="656"/>
      <c r="V87" s="656"/>
      <c r="W87" s="656"/>
      <c r="X87" s="656"/>
      <c r="Y87" s="656"/>
      <c r="Z87" s="656"/>
      <c r="AA87" s="656"/>
      <c r="AB87" s="656"/>
      <c r="AC87" s="656"/>
      <c r="AD87" s="656"/>
      <c r="AE87" s="656"/>
      <c r="AF87" s="656"/>
      <c r="AG87" s="656"/>
      <c r="AH87" s="656"/>
      <c r="AI87" s="656"/>
      <c r="AJ87" s="656"/>
      <c r="AK87" s="656"/>
      <c r="AL87" s="656"/>
      <c r="AM87" s="656"/>
      <c r="AN87" s="656"/>
      <c r="AO87" s="656"/>
      <c r="AP87" s="656"/>
      <c r="AQ87" s="656"/>
      <c r="AR87" s="656"/>
      <c r="AS87" s="656"/>
      <c r="AT87" s="656"/>
      <c r="AU87" s="656"/>
      <c r="AV87" s="656"/>
      <c r="AW87" s="656"/>
      <c r="AX87" s="656"/>
      <c r="AY87" s="656"/>
      <c r="AZ87" s="656"/>
      <c r="BA87" s="656"/>
      <c r="BB87" s="656"/>
      <c r="BC87" s="656"/>
      <c r="BD87" s="656"/>
      <c r="BE87" s="656"/>
      <c r="BF87" s="656"/>
      <c r="BG87" s="656"/>
      <c r="BH87" s="656"/>
      <c r="BI87" s="656"/>
      <c r="BJ87" s="656"/>
      <c r="BK87" s="656"/>
      <c r="BL87" s="656"/>
      <c r="BM87" s="656"/>
      <c r="BN87" s="656"/>
      <c r="BO87" s="656"/>
      <c r="BP87" s="656"/>
      <c r="BQ87" s="656"/>
      <c r="BR87" s="656"/>
      <c r="BS87" s="656"/>
      <c r="BT87" s="656"/>
      <c r="BU87" s="656"/>
      <c r="BV87" s="656"/>
      <c r="BW87" s="656"/>
      <c r="BX87" s="656"/>
      <c r="BY87" s="656"/>
      <c r="BZ87" s="656"/>
      <c r="CA87" s="656"/>
      <c r="CB87" s="8"/>
    </row>
    <row r="88" spans="1:80" ht="19.5" customHeight="1">
      <c r="A88" s="3">
        <f t="shared" si="0"/>
        <v>1</v>
      </c>
      <c r="B88" s="284"/>
      <c r="C88" s="656"/>
      <c r="D88" s="656"/>
      <c r="E88" s="656"/>
      <c r="F88" s="656"/>
      <c r="G88" s="656"/>
      <c r="H88" s="656"/>
      <c r="I88" s="656"/>
      <c r="J88" s="656"/>
      <c r="K88" s="656"/>
      <c r="L88" s="656"/>
      <c r="M88" s="656"/>
      <c r="N88" s="656"/>
      <c r="O88" s="656"/>
      <c r="P88" s="656"/>
      <c r="Q88" s="656"/>
      <c r="R88" s="656"/>
      <c r="S88" s="656"/>
      <c r="T88" s="656"/>
      <c r="U88" s="656"/>
      <c r="V88" s="656"/>
      <c r="W88" s="656"/>
      <c r="X88" s="656"/>
      <c r="Y88" s="656"/>
      <c r="Z88" s="656"/>
      <c r="AA88" s="656"/>
      <c r="AB88" s="656"/>
      <c r="AC88" s="656"/>
      <c r="AD88" s="656"/>
      <c r="AE88" s="656"/>
      <c r="AF88" s="656"/>
      <c r="AG88" s="656"/>
      <c r="AH88" s="656"/>
      <c r="AI88" s="656"/>
      <c r="AJ88" s="656"/>
      <c r="AK88" s="656"/>
      <c r="AL88" s="656"/>
      <c r="AM88" s="656"/>
      <c r="AN88" s="656"/>
      <c r="AO88" s="656"/>
      <c r="AP88" s="656"/>
      <c r="AQ88" s="656"/>
      <c r="AR88" s="656"/>
      <c r="AS88" s="656"/>
      <c r="AT88" s="656"/>
      <c r="AU88" s="656"/>
      <c r="AV88" s="656"/>
      <c r="AW88" s="656"/>
      <c r="AX88" s="656"/>
      <c r="AY88" s="656"/>
      <c r="AZ88" s="656"/>
      <c r="BA88" s="656"/>
      <c r="BB88" s="656"/>
      <c r="BC88" s="656"/>
      <c r="BD88" s="656"/>
      <c r="BE88" s="656"/>
      <c r="BF88" s="656"/>
      <c r="BG88" s="656"/>
      <c r="BH88" s="656"/>
      <c r="BI88" s="656"/>
      <c r="BJ88" s="656"/>
      <c r="BK88" s="656"/>
      <c r="BL88" s="656"/>
      <c r="BM88" s="656"/>
      <c r="BN88" s="656"/>
      <c r="BO88" s="656"/>
      <c r="BP88" s="656"/>
      <c r="BQ88" s="656"/>
      <c r="BR88" s="656"/>
      <c r="BS88" s="656"/>
      <c r="BT88" s="656"/>
      <c r="BU88" s="656"/>
      <c r="BV88" s="656"/>
      <c r="BW88" s="656"/>
      <c r="BX88" s="656"/>
      <c r="BY88" s="656"/>
      <c r="BZ88" s="656"/>
      <c r="CA88" s="656"/>
      <c r="CB88" s="8"/>
    </row>
    <row r="89" spans="1:80" ht="19.5" customHeight="1">
      <c r="A89" s="3">
        <f t="shared" si="0"/>
        <v>1</v>
      </c>
      <c r="B89" s="284"/>
      <c r="C89" s="656"/>
      <c r="D89" s="656"/>
      <c r="E89" s="656"/>
      <c r="F89" s="656"/>
      <c r="G89" s="656"/>
      <c r="H89" s="656"/>
      <c r="I89" s="656"/>
      <c r="J89" s="656"/>
      <c r="K89" s="656"/>
      <c r="L89" s="656"/>
      <c r="M89" s="656"/>
      <c r="N89" s="656"/>
      <c r="O89" s="656"/>
      <c r="P89" s="656"/>
      <c r="Q89" s="656"/>
      <c r="R89" s="656"/>
      <c r="S89" s="656"/>
      <c r="T89" s="656"/>
      <c r="U89" s="656"/>
      <c r="V89" s="656"/>
      <c r="W89" s="656"/>
      <c r="X89" s="656"/>
      <c r="Y89" s="656"/>
      <c r="Z89" s="656"/>
      <c r="AA89" s="656"/>
      <c r="AB89" s="656"/>
      <c r="AC89" s="656"/>
      <c r="AD89" s="656"/>
      <c r="AE89" s="656"/>
      <c r="AF89" s="656"/>
      <c r="AG89" s="656"/>
      <c r="AH89" s="656"/>
      <c r="AI89" s="656"/>
      <c r="AJ89" s="656"/>
      <c r="AK89" s="656"/>
      <c r="AL89" s="656"/>
      <c r="AM89" s="656"/>
      <c r="AN89" s="656"/>
      <c r="AO89" s="656"/>
      <c r="AP89" s="656"/>
      <c r="AQ89" s="656"/>
      <c r="AR89" s="656"/>
      <c r="AS89" s="656"/>
      <c r="AT89" s="656"/>
      <c r="AU89" s="656"/>
      <c r="AV89" s="656"/>
      <c r="AW89" s="656"/>
      <c r="AX89" s="656"/>
      <c r="AY89" s="656"/>
      <c r="AZ89" s="656"/>
      <c r="BA89" s="656"/>
      <c r="BB89" s="656"/>
      <c r="BC89" s="656"/>
      <c r="BD89" s="656"/>
      <c r="BE89" s="656"/>
      <c r="BF89" s="656"/>
      <c r="BG89" s="656"/>
      <c r="BH89" s="656"/>
      <c r="BI89" s="656"/>
      <c r="BJ89" s="656"/>
      <c r="BK89" s="656"/>
      <c r="BL89" s="656"/>
      <c r="BM89" s="656"/>
      <c r="BN89" s="656"/>
      <c r="BO89" s="656"/>
      <c r="BP89" s="656"/>
      <c r="BQ89" s="656"/>
      <c r="BR89" s="656"/>
      <c r="BS89" s="656"/>
      <c r="BT89" s="656"/>
      <c r="BU89" s="656"/>
      <c r="BV89" s="656"/>
      <c r="BW89" s="656"/>
      <c r="BX89" s="656"/>
      <c r="BY89" s="656"/>
      <c r="BZ89" s="656"/>
      <c r="CA89" s="656"/>
      <c r="CB89" s="8"/>
    </row>
    <row r="90" spans="1:80" ht="19.5" customHeight="1">
      <c r="A90" s="3">
        <f t="shared" si="0"/>
        <v>1</v>
      </c>
      <c r="B90" s="284"/>
      <c r="C90" s="656"/>
      <c r="D90" s="656"/>
      <c r="E90" s="656"/>
      <c r="F90" s="656"/>
      <c r="G90" s="656"/>
      <c r="H90" s="656"/>
      <c r="I90" s="656"/>
      <c r="J90" s="656"/>
      <c r="K90" s="656"/>
      <c r="L90" s="656"/>
      <c r="M90" s="656"/>
      <c r="N90" s="656"/>
      <c r="O90" s="656"/>
      <c r="P90" s="656"/>
      <c r="Q90" s="656"/>
      <c r="R90" s="656"/>
      <c r="S90" s="656"/>
      <c r="T90" s="656"/>
      <c r="U90" s="656"/>
      <c r="V90" s="656"/>
      <c r="W90" s="656"/>
      <c r="X90" s="656"/>
      <c r="Y90" s="656"/>
      <c r="Z90" s="656"/>
      <c r="AA90" s="656"/>
      <c r="AB90" s="656"/>
      <c r="AC90" s="656"/>
      <c r="AD90" s="656"/>
      <c r="AE90" s="656"/>
      <c r="AF90" s="656"/>
      <c r="AG90" s="656"/>
      <c r="AH90" s="656"/>
      <c r="AI90" s="656"/>
      <c r="AJ90" s="656"/>
      <c r="AK90" s="656"/>
      <c r="AL90" s="656"/>
      <c r="AM90" s="656"/>
      <c r="AN90" s="656"/>
      <c r="AO90" s="656"/>
      <c r="AP90" s="656"/>
      <c r="AQ90" s="656"/>
      <c r="AR90" s="656"/>
      <c r="AS90" s="656"/>
      <c r="AT90" s="656"/>
      <c r="AU90" s="656"/>
      <c r="AV90" s="656"/>
      <c r="AW90" s="656"/>
      <c r="AX90" s="656"/>
      <c r="AY90" s="656"/>
      <c r="AZ90" s="656"/>
      <c r="BA90" s="656"/>
      <c r="BB90" s="656"/>
      <c r="BC90" s="656"/>
      <c r="BD90" s="656"/>
      <c r="BE90" s="656"/>
      <c r="BF90" s="656"/>
      <c r="BG90" s="656"/>
      <c r="BH90" s="656"/>
      <c r="BI90" s="656"/>
      <c r="BJ90" s="656"/>
      <c r="BK90" s="656"/>
      <c r="BL90" s="656"/>
      <c r="BM90" s="656"/>
      <c r="BN90" s="656"/>
      <c r="BO90" s="656"/>
      <c r="BP90" s="656"/>
      <c r="BQ90" s="656"/>
      <c r="BR90" s="656"/>
      <c r="BS90" s="656"/>
      <c r="BT90" s="656"/>
      <c r="BU90" s="656"/>
      <c r="BV90" s="656"/>
      <c r="BW90" s="656"/>
      <c r="BX90" s="656"/>
      <c r="BY90" s="656"/>
      <c r="BZ90" s="656"/>
      <c r="CA90" s="656"/>
      <c r="CB90" s="8"/>
    </row>
    <row r="91" spans="1:80" ht="41.25" customHeight="1">
      <c r="A91" s="3">
        <v>1</v>
      </c>
      <c r="B91" s="8"/>
      <c r="C91" s="656"/>
      <c r="D91" s="656"/>
      <c r="E91" s="656"/>
      <c r="F91" s="656"/>
      <c r="G91" s="656"/>
      <c r="H91" s="656"/>
      <c r="I91" s="656"/>
      <c r="J91" s="656"/>
      <c r="K91" s="656"/>
      <c r="L91" s="656"/>
      <c r="M91" s="656"/>
      <c r="N91" s="656"/>
      <c r="O91" s="656"/>
      <c r="P91" s="656"/>
      <c r="Q91" s="656"/>
      <c r="R91" s="656"/>
      <c r="S91" s="656"/>
      <c r="T91" s="656"/>
      <c r="U91" s="656"/>
      <c r="V91" s="656"/>
      <c r="W91" s="656"/>
      <c r="X91" s="656"/>
      <c r="Y91" s="656"/>
      <c r="Z91" s="656"/>
      <c r="AA91" s="656"/>
      <c r="AB91" s="656"/>
      <c r="AC91" s="656"/>
      <c r="AD91" s="656"/>
      <c r="AE91" s="656"/>
      <c r="AF91" s="656"/>
      <c r="AG91" s="656"/>
      <c r="AH91" s="656"/>
      <c r="AI91" s="656"/>
      <c r="AJ91" s="656"/>
      <c r="AK91" s="656"/>
      <c r="AL91" s="656"/>
      <c r="AM91" s="656"/>
      <c r="AN91" s="656"/>
      <c r="AO91" s="656"/>
      <c r="AP91" s="656"/>
      <c r="AQ91" s="656"/>
      <c r="AR91" s="656"/>
      <c r="AS91" s="656"/>
      <c r="AT91" s="656"/>
      <c r="AU91" s="656"/>
      <c r="AV91" s="656"/>
      <c r="AW91" s="656"/>
      <c r="AX91" s="656"/>
      <c r="AY91" s="656"/>
      <c r="AZ91" s="656"/>
      <c r="BA91" s="656"/>
      <c r="BB91" s="656"/>
      <c r="BC91" s="656"/>
      <c r="BD91" s="656"/>
      <c r="BE91" s="656"/>
      <c r="BF91" s="656"/>
      <c r="BG91" s="656"/>
      <c r="BH91" s="656"/>
      <c r="BI91" s="656"/>
      <c r="BJ91" s="656"/>
      <c r="BK91" s="656"/>
      <c r="BL91" s="656"/>
      <c r="BM91" s="656"/>
      <c r="BN91" s="656"/>
      <c r="BO91" s="656"/>
      <c r="BP91" s="656"/>
      <c r="BQ91" s="656"/>
      <c r="BR91" s="656"/>
      <c r="BS91" s="656"/>
      <c r="BT91" s="656"/>
      <c r="BU91" s="656"/>
      <c r="BV91" s="656"/>
      <c r="BW91" s="656"/>
      <c r="BX91" s="656"/>
      <c r="BY91" s="656"/>
      <c r="BZ91" s="656"/>
      <c r="CA91" s="656"/>
      <c r="CB91" s="8"/>
    </row>
    <row r="92" spans="1:79" ht="15">
      <c r="A92" s="3">
        <v>1</v>
      </c>
      <c r="B92" s="272"/>
      <c r="C92" s="656"/>
      <c r="D92" s="656"/>
      <c r="E92" s="656"/>
      <c r="F92" s="656"/>
      <c r="G92" s="656"/>
      <c r="H92" s="656"/>
      <c r="I92" s="656"/>
      <c r="J92" s="656"/>
      <c r="K92" s="656"/>
      <c r="L92" s="656"/>
      <c r="M92" s="656"/>
      <c r="N92" s="656"/>
      <c r="O92" s="656"/>
      <c r="P92" s="656"/>
      <c r="Q92" s="656"/>
      <c r="R92" s="656"/>
      <c r="S92" s="656"/>
      <c r="T92" s="656"/>
      <c r="U92" s="656"/>
      <c r="V92" s="656"/>
      <c r="W92" s="656"/>
      <c r="X92" s="656"/>
      <c r="Y92" s="656"/>
      <c r="Z92" s="656"/>
      <c r="AA92" s="656"/>
      <c r="AB92" s="656"/>
      <c r="AC92" s="656"/>
      <c r="AD92" s="656"/>
      <c r="AE92" s="656"/>
      <c r="AF92" s="656"/>
      <c r="AG92" s="656"/>
      <c r="AH92" s="656"/>
      <c r="AI92" s="656"/>
      <c r="AJ92" s="656"/>
      <c r="AK92" s="656"/>
      <c r="AL92" s="656"/>
      <c r="AM92" s="656"/>
      <c r="AN92" s="656"/>
      <c r="AO92" s="656"/>
      <c r="AP92" s="656"/>
      <c r="AQ92" s="656"/>
      <c r="AR92" s="656"/>
      <c r="AS92" s="656"/>
      <c r="AT92" s="656"/>
      <c r="AU92" s="656"/>
      <c r="AV92" s="656"/>
      <c r="AW92" s="656"/>
      <c r="AX92" s="656"/>
      <c r="AY92" s="656"/>
      <c r="AZ92" s="656"/>
      <c r="BA92" s="656"/>
      <c r="BB92" s="656"/>
      <c r="BC92" s="656"/>
      <c r="BD92" s="656"/>
      <c r="BE92" s="656"/>
      <c r="BF92" s="656"/>
      <c r="BG92" s="656"/>
      <c r="BH92" s="656"/>
      <c r="BI92" s="656"/>
      <c r="BJ92" s="656"/>
      <c r="BK92" s="656"/>
      <c r="BL92" s="656"/>
      <c r="BM92" s="656"/>
      <c r="BN92" s="656"/>
      <c r="BO92" s="656"/>
      <c r="BP92" s="656"/>
      <c r="BQ92" s="656"/>
      <c r="BR92" s="656"/>
      <c r="BS92" s="656"/>
      <c r="BT92" s="656"/>
      <c r="BU92" s="656"/>
      <c r="BV92" s="656"/>
      <c r="BW92" s="656"/>
      <c r="BX92" s="656"/>
      <c r="BY92" s="656"/>
      <c r="BZ92" s="656"/>
      <c r="CA92" s="656"/>
    </row>
    <row r="93" spans="1:72" ht="15">
      <c r="A93" s="3">
        <v>1</v>
      </c>
      <c r="B93" s="272"/>
      <c r="C93" s="272"/>
      <c r="D93" s="272"/>
      <c r="E93" s="272"/>
      <c r="F93" s="272"/>
      <c r="G93" s="272"/>
      <c r="H93" s="272"/>
      <c r="I93" s="272"/>
      <c r="J93" s="272"/>
      <c r="K93" s="272"/>
      <c r="L93" s="272"/>
      <c r="M93" s="272"/>
      <c r="N93" s="272"/>
      <c r="O93" s="272"/>
      <c r="P93" s="272"/>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2"/>
      <c r="BA93" s="272"/>
      <c r="BB93" s="272"/>
      <c r="BC93" s="272"/>
      <c r="BD93" s="272"/>
      <c r="BE93" s="272"/>
      <c r="BF93" s="272"/>
      <c r="BG93" s="272"/>
      <c r="BH93" s="272"/>
      <c r="BI93" s="272"/>
      <c r="BJ93" s="272"/>
      <c r="BK93" s="272"/>
      <c r="BL93" s="272"/>
      <c r="BM93" s="272"/>
      <c r="BN93" s="272"/>
      <c r="BO93" s="272"/>
      <c r="BP93" s="272"/>
      <c r="BQ93" s="272"/>
      <c r="BR93" s="272"/>
      <c r="BS93" s="272"/>
      <c r="BT93" s="272"/>
    </row>
    <row r="94" spans="1:72" ht="15">
      <c r="A94" s="3">
        <v>1</v>
      </c>
      <c r="B94" s="272"/>
      <c r="C94" s="272"/>
      <c r="D94" s="272"/>
      <c r="E94" s="272"/>
      <c r="F94" s="272"/>
      <c r="G94" s="272"/>
      <c r="H94" s="272"/>
      <c r="I94" s="272"/>
      <c r="J94" s="272"/>
      <c r="K94" s="272"/>
      <c r="L94" s="272"/>
      <c r="M94" s="272"/>
      <c r="N94" s="272"/>
      <c r="O94" s="272"/>
      <c r="P94" s="272"/>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2"/>
      <c r="BA94" s="272"/>
      <c r="BB94" s="272"/>
      <c r="BC94" s="272"/>
      <c r="BD94" s="272"/>
      <c r="BE94" s="272"/>
      <c r="BF94" s="272"/>
      <c r="BG94" s="272"/>
      <c r="BH94" s="272"/>
      <c r="BI94" s="272"/>
      <c r="BJ94" s="272"/>
      <c r="BK94" s="272"/>
      <c r="BL94" s="272"/>
      <c r="BM94" s="272"/>
      <c r="BN94" s="272"/>
      <c r="BO94" s="272"/>
      <c r="BP94" s="272"/>
      <c r="BQ94" s="272"/>
      <c r="BR94" s="272"/>
      <c r="BS94" s="272"/>
      <c r="BT94" s="272"/>
    </row>
    <row r="95" spans="1:79" ht="19.5" customHeight="1">
      <c r="A95" s="3">
        <v>1</v>
      </c>
      <c r="B95" s="686" t="s">
        <v>895</v>
      </c>
      <c r="C95" s="666"/>
      <c r="D95" s="666"/>
      <c r="E95" s="666"/>
      <c r="F95" s="666"/>
      <c r="G95" s="666"/>
      <c r="H95" s="666"/>
      <c r="I95" s="666"/>
      <c r="J95" s="666"/>
      <c r="K95" s="666"/>
      <c r="L95" s="666"/>
      <c r="M95" s="666"/>
      <c r="N95" s="666"/>
      <c r="O95" s="666"/>
      <c r="P95" s="666"/>
      <c r="Q95" s="666"/>
      <c r="R95" s="666"/>
      <c r="S95" s="666"/>
      <c r="T95" s="666"/>
      <c r="U95" s="666"/>
      <c r="V95" s="666"/>
      <c r="W95" s="666"/>
      <c r="X95" s="666"/>
      <c r="Y95" s="666"/>
      <c r="Z95" s="666"/>
      <c r="AA95" s="666"/>
      <c r="AB95" s="666"/>
      <c r="AC95" s="666"/>
      <c r="AD95" s="666"/>
      <c r="AE95" s="666"/>
      <c r="AF95" s="666"/>
      <c r="AG95" s="666"/>
      <c r="AH95" s="666"/>
      <c r="AI95" s="666"/>
      <c r="AJ95" s="666"/>
      <c r="AK95" s="666"/>
      <c r="AL95" s="666"/>
      <c r="AM95" s="666"/>
      <c r="AN95" s="666"/>
      <c r="AO95" s="666"/>
      <c r="AP95" s="666"/>
      <c r="AQ95" s="666"/>
      <c r="AR95" s="666"/>
      <c r="AS95" s="666"/>
      <c r="AT95" s="666"/>
      <c r="AU95" s="666"/>
      <c r="AV95" s="666"/>
      <c r="AW95" s="666"/>
      <c r="AX95" s="666"/>
      <c r="AY95" s="666"/>
      <c r="AZ95" s="666"/>
      <c r="BA95" s="666"/>
      <c r="BB95" s="666"/>
      <c r="BC95" s="666"/>
      <c r="BD95" s="666"/>
      <c r="BE95" s="666"/>
      <c r="BF95" s="666"/>
      <c r="BG95" s="666"/>
      <c r="BH95" s="666"/>
      <c r="BI95" s="666"/>
      <c r="BJ95" s="666"/>
      <c r="BK95" s="666"/>
      <c r="BL95" s="666"/>
      <c r="BM95" s="666"/>
      <c r="BN95" s="666"/>
      <c r="BO95" s="666"/>
      <c r="BP95" s="666"/>
      <c r="BQ95" s="666"/>
      <c r="BR95" s="666"/>
      <c r="BS95" s="666"/>
      <c r="BT95" s="666"/>
      <c r="BU95" s="664"/>
      <c r="BV95" s="664"/>
      <c r="BW95" s="664"/>
      <c r="BX95" s="664"/>
      <c r="BY95" s="664"/>
      <c r="BZ95" s="664"/>
      <c r="CA95" s="664"/>
    </row>
    <row r="96" spans="1:72" ht="15">
      <c r="A96" s="3">
        <v>1</v>
      </c>
      <c r="B96" s="272"/>
      <c r="C96" s="272"/>
      <c r="D96" s="272"/>
      <c r="E96" s="272"/>
      <c r="F96" s="272"/>
      <c r="G96" s="272"/>
      <c r="H96" s="272"/>
      <c r="I96" s="272"/>
      <c r="J96" s="272"/>
      <c r="K96" s="272"/>
      <c r="L96" s="272"/>
      <c r="M96" s="272"/>
      <c r="N96" s="272"/>
      <c r="O96" s="272"/>
      <c r="P96" s="272"/>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2"/>
      <c r="BA96" s="272"/>
      <c r="BB96" s="272"/>
      <c r="BC96" s="272"/>
      <c r="BD96" s="272"/>
      <c r="BE96" s="272"/>
      <c r="BF96" s="272"/>
      <c r="BG96" s="272"/>
      <c r="BH96" s="272"/>
      <c r="BI96" s="272"/>
      <c r="BJ96" s="272"/>
      <c r="BK96" s="272"/>
      <c r="BL96" s="272"/>
      <c r="BM96" s="272"/>
      <c r="BN96" s="272"/>
      <c r="BO96" s="272"/>
      <c r="BP96" s="272"/>
      <c r="BQ96" s="272"/>
      <c r="BR96" s="272"/>
      <c r="BS96" s="272"/>
      <c r="BT96" s="272"/>
    </row>
    <row r="97" spans="1:79" ht="71.25" customHeight="1">
      <c r="A97" s="3">
        <v>1</v>
      </c>
      <c r="B97" s="701" t="s">
        <v>811</v>
      </c>
      <c r="C97" s="701"/>
      <c r="D97" s="701"/>
      <c r="E97" s="701"/>
      <c r="F97" s="701"/>
      <c r="G97" s="701"/>
      <c r="H97" s="701"/>
      <c r="I97" s="701"/>
      <c r="J97" s="701"/>
      <c r="K97" s="701"/>
      <c r="L97" s="701"/>
      <c r="M97" s="701"/>
      <c r="N97" s="701"/>
      <c r="O97" s="701"/>
      <c r="P97" s="701"/>
      <c r="Q97" s="701"/>
      <c r="R97" s="701"/>
      <c r="S97" s="701"/>
      <c r="T97" s="701"/>
      <c r="U97" s="701"/>
      <c r="V97" s="701"/>
      <c r="W97" s="701"/>
      <c r="X97" s="701"/>
      <c r="Y97" s="701"/>
      <c r="Z97" s="701"/>
      <c r="AA97" s="701"/>
      <c r="AB97" s="701"/>
      <c r="AC97" s="701"/>
      <c r="AD97" s="701"/>
      <c r="AE97" s="701"/>
      <c r="AF97" s="701"/>
      <c r="AG97" s="701"/>
      <c r="AH97" s="701"/>
      <c r="AI97" s="701"/>
      <c r="AJ97" s="701"/>
      <c r="AK97" s="701"/>
      <c r="AL97" s="701"/>
      <c r="AM97" s="701"/>
      <c r="AN97" s="701"/>
      <c r="AO97" s="701"/>
      <c r="AP97" s="701"/>
      <c r="AQ97" s="701"/>
      <c r="AR97" s="701"/>
      <c r="AS97" s="701"/>
      <c r="AT97" s="701"/>
      <c r="AU97" s="701"/>
      <c r="AV97" s="701"/>
      <c r="AW97" s="701"/>
      <c r="AX97" s="701"/>
      <c r="AY97" s="701"/>
      <c r="AZ97" s="701"/>
      <c r="BA97" s="701"/>
      <c r="BB97" s="701"/>
      <c r="BC97" s="701"/>
      <c r="BD97" s="701"/>
      <c r="BE97" s="701"/>
      <c r="BF97" s="701"/>
      <c r="BG97" s="701"/>
      <c r="BH97" s="701"/>
      <c r="BI97" s="701"/>
      <c r="BJ97" s="701"/>
      <c r="BK97" s="701"/>
      <c r="BL97" s="701"/>
      <c r="BM97" s="701"/>
      <c r="BN97" s="701"/>
      <c r="BO97" s="701"/>
      <c r="BP97" s="701"/>
      <c r="BQ97" s="701"/>
      <c r="BR97" s="701"/>
      <c r="BS97" s="701"/>
      <c r="BT97" s="701"/>
      <c r="BU97" s="657"/>
      <c r="BV97" s="657"/>
      <c r="BW97" s="657"/>
      <c r="BX97" s="657"/>
      <c r="BY97" s="657"/>
      <c r="BZ97" s="657"/>
      <c r="CA97" s="657"/>
    </row>
    <row r="98" spans="1:72" ht="15">
      <c r="A98" s="3">
        <v>1</v>
      </c>
      <c r="B98" s="272"/>
      <c r="C98" s="272"/>
      <c r="D98" s="272"/>
      <c r="E98" s="272"/>
      <c r="F98" s="272"/>
      <c r="G98" s="272"/>
      <c r="H98" s="272"/>
      <c r="I98" s="272"/>
      <c r="J98" s="272"/>
      <c r="K98" s="272"/>
      <c r="L98" s="272"/>
      <c r="M98" s="272"/>
      <c r="N98" s="272"/>
      <c r="O98" s="272"/>
      <c r="P98" s="272"/>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2"/>
      <c r="BA98" s="272"/>
      <c r="BB98" s="272"/>
      <c r="BC98" s="272"/>
      <c r="BD98" s="272"/>
      <c r="BE98" s="272"/>
      <c r="BF98" s="272"/>
      <c r="BG98" s="272"/>
      <c r="BH98" s="272"/>
      <c r="BI98" s="272"/>
      <c r="BJ98" s="272"/>
      <c r="BK98" s="272"/>
      <c r="BL98" s="272"/>
      <c r="BM98" s="272"/>
      <c r="BN98" s="272"/>
      <c r="BO98" s="272"/>
      <c r="BP98" s="272"/>
      <c r="BQ98" s="272"/>
      <c r="BR98" s="272"/>
      <c r="BS98" s="272"/>
      <c r="BT98" s="272"/>
    </row>
    <row r="99" spans="1:72" ht="15">
      <c r="A99" s="3">
        <v>1</v>
      </c>
      <c r="B99" s="272"/>
      <c r="C99" s="272"/>
      <c r="D99" s="272"/>
      <c r="E99" s="272"/>
      <c r="F99" s="272"/>
      <c r="G99" s="272"/>
      <c r="H99" s="272"/>
      <c r="I99" s="272"/>
      <c r="J99" s="272"/>
      <c r="K99" s="272"/>
      <c r="L99" s="272"/>
      <c r="M99" s="272"/>
      <c r="N99" s="272"/>
      <c r="O99" s="272"/>
      <c r="P99" s="272"/>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2"/>
      <c r="BA99" s="272"/>
      <c r="BB99" s="272"/>
      <c r="BC99" s="272"/>
      <c r="BD99" s="272"/>
      <c r="BE99" s="272"/>
      <c r="BF99" s="272"/>
      <c r="BG99" s="272"/>
      <c r="BH99" s="272"/>
      <c r="BI99" s="272"/>
      <c r="BJ99" s="272"/>
      <c r="BK99" s="272"/>
      <c r="BL99" s="272"/>
      <c r="BM99" s="272"/>
      <c r="BN99" s="272"/>
      <c r="BO99" s="272"/>
      <c r="BP99" s="272"/>
      <c r="BQ99" s="272"/>
      <c r="BR99" s="272"/>
      <c r="BS99" s="272"/>
      <c r="BT99" s="272"/>
    </row>
    <row r="100" spans="1:72" ht="15">
      <c r="A100" s="3">
        <v>1</v>
      </c>
      <c r="B100" s="272"/>
      <c r="C100" s="272"/>
      <c r="D100" s="272"/>
      <c r="E100" s="272"/>
      <c r="F100" s="272"/>
      <c r="G100" s="272"/>
      <c r="H100" s="272"/>
      <c r="I100" s="272"/>
      <c r="J100" s="272"/>
      <c r="K100" s="272"/>
      <c r="L100" s="272"/>
      <c r="M100" s="272"/>
      <c r="N100" s="272"/>
      <c r="O100" s="272"/>
      <c r="P100" s="272"/>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2"/>
      <c r="BA100" s="272"/>
      <c r="BB100" s="272"/>
      <c r="BC100" s="272"/>
      <c r="BD100" s="272"/>
      <c r="BE100" s="272"/>
      <c r="BF100" s="272"/>
      <c r="BG100" s="272"/>
      <c r="BH100" s="272"/>
      <c r="BI100" s="272"/>
      <c r="BJ100" s="272"/>
      <c r="BK100" s="272"/>
      <c r="BL100" s="272"/>
      <c r="BM100" s="272"/>
      <c r="BN100" s="272"/>
      <c r="BO100" s="272"/>
      <c r="BP100" s="272"/>
      <c r="BQ100" s="272"/>
      <c r="BR100" s="272"/>
      <c r="BS100" s="272"/>
      <c r="BT100" s="272"/>
    </row>
    <row r="101" spans="1:72" ht="21.75" customHeight="1">
      <c r="A101" s="8">
        <v>1</v>
      </c>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row>
    <row r="102" spans="1:72" ht="15">
      <c r="A102" s="8">
        <v>1</v>
      </c>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row>
    <row r="103" spans="1:72" ht="61.5" customHeight="1">
      <c r="A103" s="8">
        <v>1</v>
      </c>
      <c r="B103" s="171"/>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s="178"/>
      <c r="AM103" s="178"/>
      <c r="AN103" s="178"/>
      <c r="AO103" s="178"/>
      <c r="AP103" s="178"/>
      <c r="AQ103" s="178"/>
      <c r="AR103" s="178"/>
      <c r="AS103" s="178"/>
      <c r="AT103" s="178"/>
      <c r="AU103" s="178"/>
      <c r="AV103" s="178"/>
      <c r="AW103" s="178"/>
      <c r="AX103" s="178"/>
      <c r="AY103" s="178"/>
      <c r="AZ103" s="178"/>
      <c r="BA103" s="178"/>
      <c r="BB103" s="178"/>
      <c r="BC103" s="178"/>
      <c r="BD103" s="178"/>
      <c r="BE103" s="178"/>
      <c r="BF103" s="178"/>
      <c r="BG103" s="178"/>
      <c r="BH103" s="178"/>
      <c r="BI103" s="178"/>
      <c r="BJ103" s="178"/>
      <c r="BK103" s="178"/>
      <c r="BL103" s="178"/>
      <c r="BM103" s="178"/>
      <c r="BN103" s="178"/>
      <c r="BO103" s="178"/>
      <c r="BP103" s="178"/>
      <c r="BQ103" s="178"/>
      <c r="BR103" s="178"/>
      <c r="BS103" s="178"/>
      <c r="BT103" s="178"/>
    </row>
    <row r="104" spans="1:72" ht="15.75">
      <c r="A104" s="8">
        <v>1</v>
      </c>
      <c r="B104" s="178"/>
      <c r="C104" s="178"/>
      <c r="D104" s="178"/>
      <c r="E104" s="178"/>
      <c r="F104" s="178"/>
      <c r="G104" s="178"/>
      <c r="H104" s="178"/>
      <c r="I104" s="178"/>
      <c r="J104" s="178"/>
      <c r="K104" s="178"/>
      <c r="L104" s="8"/>
      <c r="M104" s="178"/>
      <c r="N104" s="178"/>
      <c r="O104" s="273"/>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78"/>
      <c r="AL104" s="178"/>
      <c r="AM104" s="178"/>
      <c r="AN104" s="178"/>
      <c r="AO104" s="178"/>
      <c r="AP104" s="8"/>
      <c r="AQ104" s="178"/>
      <c r="AR104" s="273"/>
      <c r="AS104" s="178"/>
      <c r="AT104" s="178"/>
      <c r="AU104" s="178"/>
      <c r="AV104" s="178"/>
      <c r="AW104" s="178"/>
      <c r="AX104" s="178"/>
      <c r="AY104" s="178"/>
      <c r="AZ104" s="178"/>
      <c r="BA104" s="178"/>
      <c r="BB104" s="178"/>
      <c r="BC104" s="178"/>
      <c r="BD104" s="178"/>
      <c r="BE104" s="178"/>
      <c r="BF104" s="178"/>
      <c r="BG104" s="178"/>
      <c r="BH104" s="8"/>
      <c r="BI104" s="8"/>
      <c r="BJ104" s="8"/>
      <c r="BK104" s="273"/>
      <c r="BL104" s="8"/>
      <c r="BM104" s="8"/>
      <c r="BN104" s="8"/>
      <c r="BO104" s="8"/>
      <c r="BP104" s="8"/>
      <c r="BQ104" s="8"/>
      <c r="BR104" s="8"/>
      <c r="BS104" s="8"/>
      <c r="BT104" s="8"/>
    </row>
    <row r="105" spans="1:82" ht="15.75">
      <c r="A105" s="8">
        <v>1</v>
      </c>
      <c r="B105" s="8"/>
      <c r="C105" s="8"/>
      <c r="D105" s="8"/>
      <c r="E105" s="8"/>
      <c r="F105" s="8"/>
      <c r="G105" s="8"/>
      <c r="H105" s="8"/>
      <c r="I105" s="8"/>
      <c r="J105" s="8"/>
      <c r="K105" s="8"/>
      <c r="L105" s="8"/>
      <c r="M105" s="8"/>
      <c r="N105" s="178"/>
      <c r="O105" s="178"/>
      <c r="P105" s="178"/>
      <c r="Q105" s="178"/>
      <c r="R105" s="178"/>
      <c r="S105" s="178"/>
      <c r="T105" s="178"/>
      <c r="U105" s="261"/>
      <c r="V105" s="8"/>
      <c r="W105" s="178"/>
      <c r="X105" s="178"/>
      <c r="Y105" s="178"/>
      <c r="Z105" s="178"/>
      <c r="AA105" s="178"/>
      <c r="AB105" s="8"/>
      <c r="AC105" s="178"/>
      <c r="AD105" s="178"/>
      <c r="AE105" s="178"/>
      <c r="AF105" s="8"/>
      <c r="AG105" s="261"/>
      <c r="AH105" s="178"/>
      <c r="AI105" s="178"/>
      <c r="AJ105" s="178"/>
      <c r="AK105" s="8"/>
      <c r="AL105" s="8"/>
      <c r="AM105" s="178"/>
      <c r="AN105" s="178"/>
      <c r="AO105" s="261"/>
      <c r="AP105" s="8"/>
      <c r="AQ105" s="8"/>
      <c r="AR105" s="178"/>
      <c r="AS105" s="178"/>
      <c r="AT105" s="178"/>
      <c r="AU105" s="178"/>
      <c r="AV105" s="8"/>
      <c r="AW105" s="178"/>
      <c r="AX105" s="8"/>
      <c r="AY105" s="178"/>
      <c r="AZ105" s="178"/>
      <c r="BA105" s="261"/>
      <c r="BB105" s="8"/>
      <c r="BC105" s="178"/>
      <c r="BD105" s="178"/>
      <c r="BE105" s="178"/>
      <c r="BF105" s="178"/>
      <c r="BG105" s="178"/>
      <c r="BH105" s="274"/>
      <c r="BI105" s="258"/>
      <c r="BJ105" s="261"/>
      <c r="BK105" s="258"/>
      <c r="BL105" s="275"/>
      <c r="BM105" s="275"/>
      <c r="BN105" s="275"/>
      <c r="BO105" s="275"/>
      <c r="BP105" s="275"/>
      <c r="BQ105" s="275"/>
      <c r="BR105" s="275"/>
      <c r="BS105" s="275"/>
      <c r="BT105" s="275"/>
      <c r="CD105" s="6"/>
    </row>
    <row r="106" spans="1:72" ht="15.75">
      <c r="A106" s="8">
        <v>1</v>
      </c>
      <c r="B106" s="276"/>
      <c r="C106" s="276"/>
      <c r="D106" s="276"/>
      <c r="E106" s="276"/>
      <c r="F106" s="276"/>
      <c r="G106" s="276"/>
      <c r="H106" s="276"/>
      <c r="I106" s="276"/>
      <c r="J106" s="276"/>
      <c r="K106" s="276"/>
      <c r="L106" s="276"/>
      <c r="M106" s="276"/>
      <c r="N106" s="178"/>
      <c r="O106" s="178"/>
      <c r="P106" s="178"/>
      <c r="Q106" s="178"/>
      <c r="R106" s="178"/>
      <c r="S106" s="178"/>
      <c r="T106" s="178"/>
      <c r="U106" s="178"/>
      <c r="V106" s="276"/>
      <c r="W106" s="276"/>
      <c r="X106" s="276"/>
      <c r="Y106" s="276"/>
      <c r="Z106" s="276"/>
      <c r="AA106" s="276"/>
      <c r="AB106" s="276"/>
      <c r="AC106" s="276"/>
      <c r="AD106" s="276"/>
      <c r="AE106" s="276"/>
      <c r="AF106" s="276"/>
      <c r="AG106" s="178"/>
      <c r="AH106" s="276"/>
      <c r="AI106" s="276"/>
      <c r="AJ106" s="276"/>
      <c r="AK106" s="276"/>
      <c r="AL106" s="276"/>
      <c r="AM106" s="276"/>
      <c r="AN106" s="276"/>
      <c r="AO106" s="276"/>
      <c r="AP106" s="276"/>
      <c r="AQ106" s="276"/>
      <c r="AR106" s="276"/>
      <c r="AS106" s="276"/>
      <c r="AT106" s="276"/>
      <c r="AU106" s="276"/>
      <c r="AV106" s="276"/>
      <c r="AW106" s="276"/>
      <c r="AX106" s="276"/>
      <c r="AY106" s="276"/>
      <c r="AZ106" s="178"/>
      <c r="BA106" s="178"/>
      <c r="BB106" s="276"/>
      <c r="BC106" s="178"/>
      <c r="BD106" s="178"/>
      <c r="BE106" s="178"/>
      <c r="BF106" s="178"/>
      <c r="BG106" s="178"/>
      <c r="BH106" s="178"/>
      <c r="BI106" s="178"/>
      <c r="BJ106" s="178"/>
      <c r="BK106" s="276"/>
      <c r="BL106" s="275"/>
      <c r="BM106" s="275"/>
      <c r="BN106" s="275"/>
      <c r="BO106" s="275"/>
      <c r="BP106" s="275"/>
      <c r="BQ106" s="275"/>
      <c r="BR106" s="275"/>
      <c r="BS106" s="275"/>
      <c r="BT106" s="275"/>
    </row>
    <row r="107" spans="1:99" ht="15">
      <c r="A107" s="8">
        <v>1</v>
      </c>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CE107" s="296"/>
      <c r="CF107" s="296"/>
      <c r="CG107" s="296"/>
      <c r="CH107" s="296"/>
      <c r="CI107" s="296"/>
      <c r="CJ107" s="296"/>
      <c r="CK107" s="296"/>
      <c r="CL107" s="296"/>
      <c r="CM107" s="296"/>
      <c r="CN107" s="296"/>
      <c r="CO107" s="296"/>
      <c r="CP107" s="296"/>
      <c r="CQ107" s="296"/>
      <c r="CR107" s="296"/>
      <c r="CS107" s="296"/>
      <c r="CT107" s="296"/>
      <c r="CU107" s="296"/>
    </row>
    <row r="108" spans="1:158" ht="15">
      <c r="A108" s="3">
        <v>1</v>
      </c>
      <c r="CE108" s="296"/>
      <c r="CF108" s="297"/>
      <c r="CG108" s="298"/>
      <c r="CH108" s="178">
        <v>1</v>
      </c>
      <c r="CI108" s="296"/>
      <c r="CJ108" s="296"/>
      <c r="CK108" s="296">
        <v>2</v>
      </c>
      <c r="CL108" s="296"/>
      <c r="CM108" s="296"/>
      <c r="CN108" s="296">
        <v>3</v>
      </c>
      <c r="CO108" s="296"/>
      <c r="CP108" s="296"/>
      <c r="CQ108" s="296">
        <v>4</v>
      </c>
      <c r="CR108" s="296"/>
      <c r="CS108" s="296"/>
      <c r="CT108" s="296">
        <v>5</v>
      </c>
      <c r="CU108" s="296"/>
      <c r="CW108" s="3">
        <v>6</v>
      </c>
      <c r="CZ108" s="3">
        <v>7</v>
      </c>
      <c r="DC108" s="3">
        <v>8</v>
      </c>
      <c r="DF108" s="3">
        <v>9</v>
      </c>
      <c r="DI108" s="3">
        <v>10</v>
      </c>
      <c r="DL108" s="3">
        <v>11</v>
      </c>
      <c r="DO108" s="3">
        <v>12</v>
      </c>
      <c r="DR108" s="3">
        <v>13</v>
      </c>
      <c r="DU108" s="3">
        <v>14</v>
      </c>
      <c r="DX108" s="3">
        <v>15</v>
      </c>
      <c r="EA108" s="3">
        <v>16</v>
      </c>
      <c r="ED108" s="3">
        <v>17</v>
      </c>
      <c r="EG108" s="3">
        <v>18</v>
      </c>
      <c r="EJ108" s="3">
        <v>19</v>
      </c>
      <c r="EM108" s="3">
        <v>20</v>
      </c>
      <c r="EP108" s="3">
        <v>21</v>
      </c>
      <c r="ES108" s="3">
        <v>22</v>
      </c>
      <c r="EV108" s="3">
        <v>23</v>
      </c>
      <c r="EY108" s="3">
        <v>24</v>
      </c>
      <c r="FB108" s="3">
        <v>25</v>
      </c>
    </row>
    <row r="109" spans="1:158" ht="15">
      <c r="A109" s="3">
        <v>1</v>
      </c>
      <c r="CE109" s="296" t="s">
        <v>793</v>
      </c>
      <c r="CF109" s="299"/>
      <c r="CG109" s="299"/>
      <c r="CH109" s="299">
        <f>DA130</f>
        <v>457.05178211787177</v>
      </c>
      <c r="CI109" s="299"/>
      <c r="CJ109" s="299"/>
      <c r="CK109" s="299">
        <f>DA131</f>
        <v>536.7567514668509</v>
      </c>
      <c r="CL109" s="296"/>
      <c r="CM109" s="296"/>
      <c r="CN109" s="299">
        <f>DA132</f>
        <v>621.4353962533486</v>
      </c>
      <c r="CO109" s="296"/>
      <c r="CP109" s="296"/>
      <c r="CQ109" s="299">
        <f>DA133</f>
        <v>711.3949073094244</v>
      </c>
      <c r="CR109" s="296"/>
      <c r="CS109" s="296"/>
      <c r="CT109" s="299">
        <f>DA134</f>
        <v>806.9613074490843</v>
      </c>
      <c r="CU109" s="296"/>
      <c r="CW109" s="6">
        <f>DA135</f>
        <v>908.4805996313133</v>
      </c>
      <c r="CZ109" s="6">
        <f>DA136</f>
        <v>1016.3199848429721</v>
      </c>
      <c r="DC109" s="6">
        <f>DA137</f>
        <v>1130.8691539225688</v>
      </c>
      <c r="DF109" s="6">
        <f>DA138</f>
        <v>1252.541657800904</v>
      </c>
      <c r="DI109" s="6">
        <f>DA139</f>
        <v>1381.7763609049703</v>
      </c>
      <c r="DL109" s="6">
        <f>DA140</f>
        <v>2321.0711403919904</v>
      </c>
      <c r="DO109" s="6">
        <f>DA141</f>
        <v>2466.8558907475813</v>
      </c>
      <c r="DR109" s="6">
        <f>DA142</f>
        <v>2621.687203914958</v>
      </c>
      <c r="DU109" s="6">
        <f>DA143</f>
        <v>2786.1215782794184</v>
      </c>
      <c r="DX109" s="6">
        <f>DA144</f>
        <v>2960.749527379104</v>
      </c>
      <c r="EA109" s="6">
        <f>DA145</f>
        <v>3146.197649286557</v>
      </c>
      <c r="ED109" s="6">
        <f>DA146</f>
        <v>3343.1308214498117</v>
      </c>
      <c r="EG109" s="6">
        <f>DA147</f>
        <v>3552.254528579855</v>
      </c>
      <c r="EJ109" s="6">
        <f>DA148</f>
        <v>3774.3173316291695</v>
      </c>
      <c r="EM109" s="6">
        <f>DA149</f>
        <v>4010.1134863916723</v>
      </c>
      <c r="EP109" s="6">
        <f>DA150</f>
        <v>0</v>
      </c>
      <c r="ES109" s="6">
        <f>DA151</f>
        <v>0</v>
      </c>
      <c r="EV109" s="6">
        <f>DA152</f>
        <v>0</v>
      </c>
      <c r="EY109" s="6">
        <f>DA153</f>
        <v>0</v>
      </c>
      <c r="FB109" s="6">
        <f>DA154</f>
        <v>0</v>
      </c>
    </row>
    <row r="110" spans="1:158" ht="15">
      <c r="A110" s="3">
        <v>1</v>
      </c>
      <c r="CE110" s="296" t="s">
        <v>189</v>
      </c>
      <c r="CF110" s="299"/>
      <c r="CG110" s="299"/>
      <c r="CH110" s="299">
        <f>W130</f>
        <v>0</v>
      </c>
      <c r="CI110" s="299"/>
      <c r="CJ110" s="299"/>
      <c r="CK110" s="299">
        <f>W131</f>
        <v>100</v>
      </c>
      <c r="CL110" s="296"/>
      <c r="CM110" s="296"/>
      <c r="CN110" s="299">
        <f>W132</f>
        <v>212.18</v>
      </c>
      <c r="CO110" s="296"/>
      <c r="CP110" s="296"/>
      <c r="CQ110" s="299">
        <f>W133</f>
        <v>218.5454</v>
      </c>
      <c r="CR110" s="296"/>
      <c r="CS110" s="296"/>
      <c r="CT110" s="299">
        <f>W134</f>
        <v>225.101762</v>
      </c>
      <c r="CU110" s="296"/>
      <c r="CW110" s="6">
        <f>W135</f>
        <v>231.85481486</v>
      </c>
      <c r="CZ110" s="6">
        <f>W136</f>
        <v>238.8104593058</v>
      </c>
      <c r="DC110" s="6">
        <f>W137</f>
        <v>245.974773084974</v>
      </c>
      <c r="DF110" s="6">
        <f>W138</f>
        <v>253.35401627752324</v>
      </c>
      <c r="DI110" s="6">
        <f>W139</f>
        <v>260.95463676584893</v>
      </c>
      <c r="DL110" s="6">
        <f>W140</f>
        <v>268.78327586882443</v>
      </c>
      <c r="DO110" s="6">
        <f>W141</f>
        <v>276.8467741448892</v>
      </c>
      <c r="DR110" s="6">
        <f>W142</f>
        <v>1043.706742690313</v>
      </c>
      <c r="DU110" s="6">
        <f>W143</f>
        <v>293.7067426903129</v>
      </c>
      <c r="DX110" s="6">
        <f>W144</f>
        <v>302.5179449710223</v>
      </c>
      <c r="EA110" s="6">
        <f>W145</f>
        <v>311.593483320153</v>
      </c>
      <c r="ED110" s="6">
        <f>W146</f>
        <v>320.9412878197576</v>
      </c>
      <c r="EG110" s="6">
        <f>W147</f>
        <v>330.5695264543503</v>
      </c>
      <c r="EJ110" s="6">
        <f>W148</f>
        <v>340.4866122479808</v>
      </c>
      <c r="EM110" s="6">
        <f>W149</f>
        <v>350.7012106154202</v>
      </c>
      <c r="EP110" s="6">
        <f>W150</f>
        <v>0</v>
      </c>
      <c r="ES110" s="6">
        <f>W151</f>
        <v>0</v>
      </c>
      <c r="EV110" s="6">
        <f>W152</f>
        <v>0</v>
      </c>
      <c r="EY110" s="6">
        <f>W153</f>
        <v>0</v>
      </c>
      <c r="FB110" s="6">
        <f>W154</f>
        <v>0</v>
      </c>
    </row>
    <row r="111" spans="1:158" ht="15">
      <c r="A111" s="3">
        <v>1</v>
      </c>
      <c r="CE111" s="296" t="s">
        <v>784</v>
      </c>
      <c r="CF111" s="299"/>
      <c r="CG111" s="299"/>
      <c r="CH111" s="299">
        <f>DC130</f>
        <v>1912.8166243003689</v>
      </c>
      <c r="CI111" s="299"/>
      <c r="CJ111" s="299"/>
      <c r="CK111" s="299">
        <f>DC131</f>
        <v>1912.8166243003689</v>
      </c>
      <c r="CL111" s="296"/>
      <c r="CM111" s="296"/>
      <c r="CN111" s="299">
        <f>DC132</f>
        <v>1912.8166243003689</v>
      </c>
      <c r="CO111" s="296"/>
      <c r="CP111" s="296"/>
      <c r="CQ111" s="299">
        <f>DC133</f>
        <v>1912.8166243003689</v>
      </c>
      <c r="CR111" s="296"/>
      <c r="CS111" s="296"/>
      <c r="CT111" s="299">
        <f>DC134</f>
        <v>1912.8166243003689</v>
      </c>
      <c r="CU111" s="296"/>
      <c r="CW111" s="6">
        <f>DC135</f>
        <v>1912.8166243003689</v>
      </c>
      <c r="CZ111" s="6">
        <f>DC136</f>
        <v>1912.8166243003689</v>
      </c>
      <c r="DC111" s="6">
        <f>DC137</f>
        <v>1912.8166243003689</v>
      </c>
      <c r="DF111" s="6">
        <f>DC138</f>
        <v>1912.8166243003689</v>
      </c>
      <c r="DI111" s="6">
        <f>DC139</f>
        <v>1912.8166243003689</v>
      </c>
      <c r="DL111" s="6">
        <f>DC140</f>
        <v>1912.8166243003689</v>
      </c>
      <c r="DO111" s="6">
        <f>DC141</f>
        <v>1912.8166243003689</v>
      </c>
      <c r="DR111" s="6">
        <f>DC142</f>
        <v>0</v>
      </c>
      <c r="DU111" s="6">
        <f>DC143</f>
        <v>0</v>
      </c>
      <c r="DX111" s="6">
        <f>DC144</f>
        <v>0</v>
      </c>
      <c r="EA111" s="6">
        <f>DC145</f>
        <v>0</v>
      </c>
      <c r="ED111" s="6">
        <f>DC146</f>
        <v>0</v>
      </c>
      <c r="EG111" s="6">
        <f>DC147</f>
        <v>0</v>
      </c>
      <c r="EJ111" s="6">
        <f>DC148</f>
        <v>0</v>
      </c>
      <c r="EM111" s="6">
        <f>DC149</f>
        <v>0</v>
      </c>
      <c r="EP111" s="6">
        <f>DC150</f>
        <v>0</v>
      </c>
      <c r="ES111" s="6">
        <f>DC151</f>
        <v>0</v>
      </c>
      <c r="EV111" s="6">
        <f>DC152</f>
        <v>0</v>
      </c>
      <c r="EY111" s="6">
        <f>DC153</f>
        <v>0</v>
      </c>
      <c r="FB111" s="6">
        <f>DC154</f>
        <v>0</v>
      </c>
    </row>
    <row r="112" spans="1:157" ht="15">
      <c r="A112" s="3">
        <v>1</v>
      </c>
      <c r="CE112" s="296" t="s">
        <v>794</v>
      </c>
      <c r="CG112" s="299">
        <f>D130</f>
        <v>2379.670881</v>
      </c>
      <c r="CH112" s="299"/>
      <c r="CI112" s="299"/>
      <c r="CJ112" s="299">
        <f>D131</f>
        <v>2514.65442505</v>
      </c>
      <c r="CK112" s="299"/>
      <c r="CL112" s="296"/>
      <c r="CM112" s="299">
        <f>D132</f>
        <v>2657.3471463025003</v>
      </c>
      <c r="CO112" s="296"/>
      <c r="CP112" s="299">
        <f>D133</f>
        <v>2808.1921036176254</v>
      </c>
      <c r="CQ112" s="296"/>
      <c r="CR112" s="296"/>
      <c r="CS112" s="299">
        <f>D134</f>
        <v>2967.657964798507</v>
      </c>
      <c r="CT112" s="296"/>
      <c r="CU112" s="296"/>
      <c r="CV112" s="6">
        <f>D135</f>
        <v>3136.2404943984325</v>
      </c>
      <c r="CY112" s="6">
        <f>D136</f>
        <v>3314.464128359954</v>
      </c>
      <c r="DB112" s="6">
        <f>D137</f>
        <v>3502.8836405740476</v>
      </c>
      <c r="DE112" s="6">
        <f>D138</f>
        <v>3702.0859067466117</v>
      </c>
      <c r="DH112" s="6">
        <f>D139</f>
        <v>3912.691771276436</v>
      </c>
      <c r="DK112" s="6">
        <f>D140</f>
        <v>4135.358023184302</v>
      </c>
      <c r="DN112" s="6">
        <f>D141</f>
        <v>4370.779487488202</v>
      </c>
      <c r="DQ112" s="6">
        <f>D142</f>
        <v>4619.691238795979</v>
      </c>
      <c r="DT112" s="6">
        <f>D143</f>
        <v>4882.870944285147</v>
      </c>
      <c r="DW112" s="6">
        <f>D144</f>
        <v>5161.141343661735</v>
      </c>
      <c r="DZ112" s="6">
        <f>D145</f>
        <v>5455.372874136893</v>
      </c>
      <c r="EC112" s="6">
        <f>D146</f>
        <v>5766.486448933333</v>
      </c>
      <c r="EF112" s="6">
        <f>D147</f>
        <v>6095.456398334972</v>
      </c>
      <c r="EI112" s="6">
        <f>D148</f>
        <v>6443.313582823989</v>
      </c>
      <c r="EL112" s="6">
        <f>D149</f>
        <v>6811.148688411794</v>
      </c>
      <c r="EO112" s="6">
        <f>D150</f>
        <v>0</v>
      </c>
      <c r="ER112" s="6">
        <f>D151</f>
        <v>0</v>
      </c>
      <c r="EU112" s="6">
        <f>D152</f>
        <v>0</v>
      </c>
      <c r="EX112" s="6">
        <f>D153</f>
        <v>0</v>
      </c>
      <c r="FA112" s="6">
        <f>D154</f>
        <v>0</v>
      </c>
    </row>
    <row r="113" spans="1:99" ht="15">
      <c r="A113" s="3">
        <v>1</v>
      </c>
      <c r="CE113" s="296"/>
      <c r="CF113" s="299"/>
      <c r="CG113" s="299"/>
      <c r="CH113" s="299"/>
      <c r="CI113" s="299"/>
      <c r="CJ113" s="299"/>
      <c r="CK113" s="299"/>
      <c r="CL113" s="299"/>
      <c r="CM113" s="296"/>
      <c r="CN113" s="296"/>
      <c r="CO113" s="296"/>
      <c r="CP113" s="296"/>
      <c r="CQ113" s="296"/>
      <c r="CR113" s="296"/>
      <c r="CS113" s="296"/>
      <c r="CT113" s="296"/>
      <c r="CU113" s="296"/>
    </row>
    <row r="114" spans="1:99" ht="15">
      <c r="A114" s="3">
        <v>1</v>
      </c>
      <c r="CE114" s="296"/>
      <c r="CF114" s="299"/>
      <c r="CG114" s="299"/>
      <c r="CH114" s="299"/>
      <c r="CI114" s="299"/>
      <c r="CJ114" s="299"/>
      <c r="CK114" s="299"/>
      <c r="CL114" s="299"/>
      <c r="CM114" s="296"/>
      <c r="CN114" s="296"/>
      <c r="CO114" s="296"/>
      <c r="CP114" s="296"/>
      <c r="CQ114" s="296"/>
      <c r="CR114" s="296"/>
      <c r="CS114" s="296"/>
      <c r="CT114" s="296"/>
      <c r="CU114" s="296"/>
    </row>
    <row r="115" spans="1:99" ht="15">
      <c r="A115" s="3">
        <v>1</v>
      </c>
      <c r="CE115" s="296"/>
      <c r="CF115" s="299"/>
      <c r="CG115" s="299"/>
      <c r="CH115" s="299"/>
      <c r="CI115" s="299"/>
      <c r="CJ115" s="299"/>
      <c r="CK115" s="299"/>
      <c r="CL115" s="299"/>
      <c r="CM115" s="296"/>
      <c r="CN115" s="296"/>
      <c r="CO115" s="296"/>
      <c r="CP115" s="296"/>
      <c r="CQ115" s="296"/>
      <c r="CR115" s="296"/>
      <c r="CS115" s="296"/>
      <c r="CT115" s="296"/>
      <c r="CU115" s="296"/>
    </row>
    <row r="116" spans="1:99" ht="15">
      <c r="A116" s="3">
        <v>1</v>
      </c>
      <c r="CI116" s="299"/>
      <c r="CJ116" s="299"/>
      <c r="CK116" s="299"/>
      <c r="CL116" s="299"/>
      <c r="CM116" s="296"/>
      <c r="CN116" s="296"/>
      <c r="CO116" s="296"/>
      <c r="CP116" s="296"/>
      <c r="CQ116" s="296"/>
      <c r="CR116" s="296"/>
      <c r="CS116" s="296"/>
      <c r="CT116" s="296"/>
      <c r="CU116" s="296"/>
    </row>
    <row r="117" spans="1:99" ht="66.75" customHeight="1">
      <c r="A117" s="3">
        <v>1</v>
      </c>
      <c r="B117" s="687" t="s">
        <v>812</v>
      </c>
      <c r="C117" s="687"/>
      <c r="D117" s="687"/>
      <c r="E117" s="687"/>
      <c r="F117" s="687"/>
      <c r="G117" s="687"/>
      <c r="H117" s="687"/>
      <c r="I117" s="687"/>
      <c r="J117" s="687"/>
      <c r="K117" s="687"/>
      <c r="L117" s="687"/>
      <c r="M117" s="687"/>
      <c r="N117" s="687"/>
      <c r="O117" s="687"/>
      <c r="P117" s="687"/>
      <c r="Q117" s="687"/>
      <c r="R117" s="687"/>
      <c r="S117" s="687"/>
      <c r="T117" s="687"/>
      <c r="U117" s="687"/>
      <c r="V117" s="687"/>
      <c r="W117" s="687"/>
      <c r="X117" s="687"/>
      <c r="Y117" s="687"/>
      <c r="Z117" s="687"/>
      <c r="AA117" s="687"/>
      <c r="AB117" s="687"/>
      <c r="AC117" s="687"/>
      <c r="AD117" s="687"/>
      <c r="AE117" s="687"/>
      <c r="AF117" s="687"/>
      <c r="AG117" s="687"/>
      <c r="AH117" s="687"/>
      <c r="AI117" s="687"/>
      <c r="AJ117" s="687"/>
      <c r="AK117" s="687"/>
      <c r="AL117" s="687"/>
      <c r="AM117" s="687"/>
      <c r="AN117" s="687"/>
      <c r="AO117" s="687"/>
      <c r="AP117" s="687"/>
      <c r="AQ117" s="687"/>
      <c r="AR117" s="687"/>
      <c r="AS117" s="687"/>
      <c r="AT117" s="687"/>
      <c r="AU117" s="687"/>
      <c r="AV117" s="687"/>
      <c r="AW117" s="687"/>
      <c r="AX117" s="687"/>
      <c r="AY117" s="687"/>
      <c r="AZ117" s="687"/>
      <c r="BA117" s="687"/>
      <c r="BB117" s="687"/>
      <c r="BC117" s="687"/>
      <c r="BD117" s="687"/>
      <c r="BE117" s="687"/>
      <c r="BF117" s="687"/>
      <c r="BG117" s="687"/>
      <c r="BH117" s="687"/>
      <c r="BI117" s="687"/>
      <c r="BJ117" s="687"/>
      <c r="BK117" s="687"/>
      <c r="BL117" s="687"/>
      <c r="BM117" s="687"/>
      <c r="BN117" s="687"/>
      <c r="BO117" s="687"/>
      <c r="BP117" s="687"/>
      <c r="BQ117" s="687"/>
      <c r="BR117" s="687"/>
      <c r="BS117" s="687"/>
      <c r="BT117" s="687"/>
      <c r="BU117" s="657"/>
      <c r="BV117" s="657"/>
      <c r="BW117" s="657"/>
      <c r="BX117" s="657"/>
      <c r="BY117" s="657"/>
      <c r="BZ117" s="657"/>
      <c r="CA117" s="657"/>
      <c r="CH117" s="299"/>
      <c r="CI117" s="299"/>
      <c r="CJ117" s="299"/>
      <c r="CK117" s="299"/>
      <c r="CL117" s="299"/>
      <c r="CN117" s="296"/>
      <c r="CO117" s="296"/>
      <c r="CP117" s="296"/>
      <c r="CQ117" s="296"/>
      <c r="CR117" s="296"/>
      <c r="CS117" s="296"/>
      <c r="CT117" s="296"/>
      <c r="CU117" s="296"/>
    </row>
    <row r="118" spans="1:99" ht="17.25" customHeight="1">
      <c r="A118" s="3">
        <v>1</v>
      </c>
      <c r="B118" s="277"/>
      <c r="C118" s="277"/>
      <c r="D118" s="277"/>
      <c r="E118" s="277"/>
      <c r="F118" s="277"/>
      <c r="G118" s="277"/>
      <c r="H118" s="277"/>
      <c r="I118" s="277"/>
      <c r="J118" s="277"/>
      <c r="K118" s="277"/>
      <c r="L118" s="277"/>
      <c r="M118" s="277"/>
      <c r="N118" s="277"/>
      <c r="O118" s="277"/>
      <c r="P118" s="277"/>
      <c r="Q118" s="277"/>
      <c r="R118" s="277"/>
      <c r="S118" s="277"/>
      <c r="T118" s="277"/>
      <c r="U118" s="277"/>
      <c r="V118" s="277"/>
      <c r="W118" s="277"/>
      <c r="X118" s="277"/>
      <c r="Y118" s="277"/>
      <c r="Z118" s="277"/>
      <c r="AA118" s="277"/>
      <c r="AB118" s="277"/>
      <c r="AC118" s="277"/>
      <c r="AD118" s="277"/>
      <c r="AE118" s="277"/>
      <c r="AF118" s="277"/>
      <c r="AG118" s="277"/>
      <c r="AH118" s="277"/>
      <c r="AI118" s="277"/>
      <c r="AJ118" s="277"/>
      <c r="AK118" s="277"/>
      <c r="AL118" s="277"/>
      <c r="AM118" s="277"/>
      <c r="AN118" s="277"/>
      <c r="AO118" s="277"/>
      <c r="AP118" s="277"/>
      <c r="AQ118" s="277"/>
      <c r="AR118" s="277"/>
      <c r="AS118" s="277"/>
      <c r="AT118" s="277"/>
      <c r="AU118" s="277"/>
      <c r="AV118" s="277"/>
      <c r="AW118" s="277"/>
      <c r="AX118" s="277"/>
      <c r="AY118" s="277"/>
      <c r="AZ118" s="277"/>
      <c r="BA118" s="277"/>
      <c r="BB118" s="277"/>
      <c r="BC118" s="277"/>
      <c r="BD118" s="277"/>
      <c r="BE118" s="277"/>
      <c r="BF118" s="277"/>
      <c r="BG118" s="277"/>
      <c r="BH118" s="277"/>
      <c r="BI118" s="277"/>
      <c r="BJ118" s="277"/>
      <c r="BK118" s="277"/>
      <c r="BL118" s="277"/>
      <c r="BM118" s="277"/>
      <c r="BN118" s="277"/>
      <c r="BO118" s="277"/>
      <c r="BP118" s="277"/>
      <c r="BQ118" s="277"/>
      <c r="BR118" s="277"/>
      <c r="BS118" s="277"/>
      <c r="BT118" s="277"/>
      <c r="BU118" s="272"/>
      <c r="BV118" s="272"/>
      <c r="BW118" s="272"/>
      <c r="BX118" s="272"/>
      <c r="BY118" s="272"/>
      <c r="BZ118" s="272"/>
      <c r="CA118" s="272"/>
      <c r="CE118" s="296" t="s">
        <v>785</v>
      </c>
      <c r="CF118" s="3">
        <v>10</v>
      </c>
      <c r="CG118" s="3">
        <f>IF(CG122=CH118,CM125,CG120)</f>
        <v>1</v>
      </c>
      <c r="CH118" s="3">
        <v>0.6</v>
      </c>
      <c r="CL118" s="296"/>
      <c r="CM118" s="296"/>
      <c r="CN118" s="296"/>
      <c r="CO118" s="296"/>
      <c r="CP118" s="296"/>
      <c r="CQ118" s="296"/>
      <c r="CR118" s="296"/>
      <c r="CS118" s="296"/>
      <c r="CT118" s="296"/>
      <c r="CU118" s="296"/>
    </row>
    <row r="119" spans="1:99" ht="17.25" customHeight="1">
      <c r="A119" s="3">
        <v>1</v>
      </c>
      <c r="B119" s="277"/>
      <c r="C119" s="677" t="s">
        <v>896</v>
      </c>
      <c r="D119" s="657"/>
      <c r="E119" s="657"/>
      <c r="F119" s="657"/>
      <c r="G119" s="657"/>
      <c r="H119" s="657"/>
      <c r="I119" s="657"/>
      <c r="J119" s="657"/>
      <c r="K119" s="657"/>
      <c r="L119" s="657"/>
      <c r="M119" s="657"/>
      <c r="N119" s="657"/>
      <c r="O119" s="657"/>
      <c r="P119" s="657"/>
      <c r="Q119" s="657"/>
      <c r="R119" s="657"/>
      <c r="S119" s="657"/>
      <c r="T119" s="657"/>
      <c r="U119" s="657"/>
      <c r="V119" s="657"/>
      <c r="W119" s="657"/>
      <c r="X119" s="657"/>
      <c r="Y119" s="657"/>
      <c r="Z119" s="657"/>
      <c r="AA119" s="657"/>
      <c r="AB119" s="657"/>
      <c r="AC119" s="657"/>
      <c r="AD119" s="657"/>
      <c r="AE119" s="657"/>
      <c r="AF119" s="657"/>
      <c r="AG119" s="657"/>
      <c r="AH119" s="657"/>
      <c r="AI119" s="657"/>
      <c r="AJ119" s="657"/>
      <c r="AK119" s="657"/>
      <c r="AL119" s="657"/>
      <c r="AM119" s="657"/>
      <c r="AN119" s="657"/>
      <c r="AO119" s="657"/>
      <c r="AP119" s="657"/>
      <c r="AQ119" s="657"/>
      <c r="AR119" s="657"/>
      <c r="AS119" s="657"/>
      <c r="AT119" s="657"/>
      <c r="AU119" s="657"/>
      <c r="AV119" s="657"/>
      <c r="AW119" s="657"/>
      <c r="AX119" s="657"/>
      <c r="AY119" s="657"/>
      <c r="AZ119" s="657"/>
      <c r="BA119" s="657"/>
      <c r="BB119" s="657"/>
      <c r="BC119" s="657"/>
      <c r="BD119" s="657"/>
      <c r="BE119" s="657"/>
      <c r="BF119" s="657"/>
      <c r="BG119" s="657"/>
      <c r="BH119" s="657"/>
      <c r="BI119" s="657"/>
      <c r="BJ119" s="657"/>
      <c r="BK119" s="657"/>
      <c r="BL119" s="657"/>
      <c r="BM119" s="657"/>
      <c r="BN119" s="657"/>
      <c r="BO119" s="657"/>
      <c r="BP119" s="657"/>
      <c r="BQ119" s="657"/>
      <c r="BR119" s="657"/>
      <c r="BS119" s="657"/>
      <c r="BT119" s="657"/>
      <c r="BU119" s="657"/>
      <c r="BV119" s="657"/>
      <c r="BW119" s="657"/>
      <c r="BX119" s="657"/>
      <c r="BY119" s="657"/>
      <c r="BZ119" s="657"/>
      <c r="CA119" s="657"/>
      <c r="CE119" s="296" t="s">
        <v>788</v>
      </c>
      <c r="CF119" s="300">
        <f>Simulatore!G27</f>
        <v>12</v>
      </c>
      <c r="CG119" s="3">
        <f>CF119*12</f>
        <v>144</v>
      </c>
      <c r="CI119" s="296"/>
      <c r="CJ119" s="296"/>
      <c r="CK119" s="296" t="s">
        <v>796</v>
      </c>
      <c r="CL119" s="296"/>
      <c r="CM119" s="296"/>
      <c r="CN119" s="296">
        <f>CH155-(Simulatore!O11+Simulatore!O12)</f>
        <v>77401.23075615417</v>
      </c>
      <c r="CO119" s="296"/>
      <c r="CP119" s="296"/>
      <c r="CQ119" s="296"/>
      <c r="CR119" s="296"/>
      <c r="CS119" s="296"/>
      <c r="CT119" s="296"/>
      <c r="CU119" s="296"/>
    </row>
    <row r="120" spans="1:99" ht="17.25" customHeight="1">
      <c r="A120" s="3">
        <v>1</v>
      </c>
      <c r="B120" s="277"/>
      <c r="C120" s="657"/>
      <c r="D120" s="657"/>
      <c r="E120" s="657"/>
      <c r="F120" s="657"/>
      <c r="G120" s="657"/>
      <c r="H120" s="657"/>
      <c r="I120" s="657"/>
      <c r="J120" s="657"/>
      <c r="K120" s="657"/>
      <c r="L120" s="657"/>
      <c r="M120" s="657"/>
      <c r="N120" s="657"/>
      <c r="O120" s="657"/>
      <c r="P120" s="657"/>
      <c r="Q120" s="657"/>
      <c r="R120" s="657"/>
      <c r="S120" s="657"/>
      <c r="T120" s="657"/>
      <c r="U120" s="657"/>
      <c r="V120" s="657"/>
      <c r="W120" s="657"/>
      <c r="X120" s="657"/>
      <c r="Y120" s="657"/>
      <c r="Z120" s="657"/>
      <c r="AA120" s="657"/>
      <c r="AB120" s="657"/>
      <c r="AC120" s="657"/>
      <c r="AD120" s="657"/>
      <c r="AE120" s="657"/>
      <c r="AF120" s="657"/>
      <c r="AG120" s="657"/>
      <c r="AH120" s="657"/>
      <c r="AI120" s="657"/>
      <c r="AJ120" s="657"/>
      <c r="AK120" s="657"/>
      <c r="AL120" s="657"/>
      <c r="AM120" s="657"/>
      <c r="AN120" s="657"/>
      <c r="AO120" s="657"/>
      <c r="AP120" s="657"/>
      <c r="AQ120" s="657"/>
      <c r="AR120" s="657"/>
      <c r="AS120" s="657"/>
      <c r="AT120" s="657"/>
      <c r="AU120" s="657"/>
      <c r="AV120" s="657"/>
      <c r="AW120" s="657"/>
      <c r="AX120" s="657"/>
      <c r="AY120" s="657"/>
      <c r="AZ120" s="657"/>
      <c r="BA120" s="657"/>
      <c r="BB120" s="657"/>
      <c r="BC120" s="657"/>
      <c r="BD120" s="657"/>
      <c r="BE120" s="657"/>
      <c r="BF120" s="657"/>
      <c r="BG120" s="657"/>
      <c r="BH120" s="657"/>
      <c r="BI120" s="657"/>
      <c r="BJ120" s="657"/>
      <c r="BK120" s="657"/>
      <c r="BL120" s="657"/>
      <c r="BM120" s="657"/>
      <c r="BN120" s="657"/>
      <c r="BO120" s="657"/>
      <c r="BP120" s="657"/>
      <c r="BQ120" s="657"/>
      <c r="BR120" s="657"/>
      <c r="BS120" s="657"/>
      <c r="BT120" s="657"/>
      <c r="BU120" s="657"/>
      <c r="BV120" s="657"/>
      <c r="BW120" s="657"/>
      <c r="BX120" s="657"/>
      <c r="BY120" s="657"/>
      <c r="BZ120" s="657"/>
      <c r="CA120" s="657"/>
      <c r="CE120" s="296" t="s">
        <v>789</v>
      </c>
      <c r="CF120" s="300">
        <f>Simulatore!G29</f>
        <v>20</v>
      </c>
      <c r="CG120" s="296">
        <v>1</v>
      </c>
      <c r="CH120" s="296"/>
      <c r="CI120" s="296"/>
      <c r="CJ120" s="296"/>
      <c r="CK120" s="296" t="s">
        <v>657</v>
      </c>
      <c r="CL120" s="296"/>
      <c r="CM120" s="296"/>
      <c r="CN120" s="3">
        <f>CN119-(CN121+CN122)</f>
        <v>64543.443707276456</v>
      </c>
      <c r="CO120" s="296"/>
      <c r="CP120" s="296"/>
      <c r="CQ120" s="296"/>
      <c r="CR120" s="296"/>
      <c r="CS120" s="296"/>
      <c r="CT120" s="296"/>
      <c r="CU120" s="296"/>
    </row>
    <row r="121" spans="1:99" ht="17.25" customHeight="1">
      <c r="A121" s="3">
        <v>1</v>
      </c>
      <c r="B121" s="277"/>
      <c r="C121" s="657"/>
      <c r="D121" s="657"/>
      <c r="E121" s="657"/>
      <c r="F121" s="657"/>
      <c r="G121" s="657"/>
      <c r="H121" s="657"/>
      <c r="I121" s="657"/>
      <c r="J121" s="657"/>
      <c r="K121" s="657"/>
      <c r="L121" s="657"/>
      <c r="M121" s="657"/>
      <c r="N121" s="657"/>
      <c r="O121" s="657"/>
      <c r="P121" s="657"/>
      <c r="Q121" s="657"/>
      <c r="R121" s="657"/>
      <c r="S121" s="657"/>
      <c r="T121" s="657"/>
      <c r="U121" s="657"/>
      <c r="V121" s="657"/>
      <c r="W121" s="657"/>
      <c r="X121" s="657"/>
      <c r="Y121" s="657"/>
      <c r="Z121" s="657"/>
      <c r="AA121" s="657"/>
      <c r="AB121" s="657"/>
      <c r="AC121" s="657"/>
      <c r="AD121" s="657"/>
      <c r="AE121" s="657"/>
      <c r="AF121" s="657"/>
      <c r="AG121" s="657"/>
      <c r="AH121" s="657"/>
      <c r="AI121" s="657"/>
      <c r="AJ121" s="657"/>
      <c r="AK121" s="657"/>
      <c r="AL121" s="657"/>
      <c r="AM121" s="657"/>
      <c r="AN121" s="657"/>
      <c r="AO121" s="657"/>
      <c r="AP121" s="657"/>
      <c r="AQ121" s="657"/>
      <c r="AR121" s="657"/>
      <c r="AS121" s="657"/>
      <c r="AT121" s="657"/>
      <c r="AU121" s="657"/>
      <c r="AV121" s="657"/>
      <c r="AW121" s="657"/>
      <c r="AX121" s="657"/>
      <c r="AY121" s="657"/>
      <c r="AZ121" s="657"/>
      <c r="BA121" s="657"/>
      <c r="BB121" s="657"/>
      <c r="BC121" s="657"/>
      <c r="BD121" s="657"/>
      <c r="BE121" s="657"/>
      <c r="BF121" s="657"/>
      <c r="BG121" s="657"/>
      <c r="BH121" s="657"/>
      <c r="BI121" s="657"/>
      <c r="BJ121" s="657"/>
      <c r="BK121" s="657"/>
      <c r="BL121" s="657"/>
      <c r="BM121" s="657"/>
      <c r="BN121" s="657"/>
      <c r="BO121" s="657"/>
      <c r="BP121" s="657"/>
      <c r="BQ121" s="657"/>
      <c r="BR121" s="657"/>
      <c r="BS121" s="657"/>
      <c r="BT121" s="657"/>
      <c r="BU121" s="657"/>
      <c r="BV121" s="657"/>
      <c r="BW121" s="657"/>
      <c r="BX121" s="657"/>
      <c r="BY121" s="657"/>
      <c r="BZ121" s="657"/>
      <c r="CA121" s="657"/>
      <c r="CE121" s="296" t="s">
        <v>792</v>
      </c>
      <c r="CF121" s="3">
        <v>20</v>
      </c>
      <c r="CG121" s="3">
        <f>IF(CF120&lt;=CF121,1,CH118)</f>
        <v>1</v>
      </c>
      <c r="CH121" s="296"/>
      <c r="CI121" s="296"/>
      <c r="CJ121" s="296"/>
      <c r="CK121" s="296"/>
      <c r="CL121" s="296"/>
      <c r="CM121" s="296"/>
      <c r="CN121" s="296">
        <f>CM155-(CM130*CF120)</f>
        <v>5330.086593906399</v>
      </c>
      <c r="CO121" s="296"/>
      <c r="CP121" s="296"/>
      <c r="CQ121" s="296"/>
      <c r="CR121" s="296"/>
      <c r="CS121" s="296"/>
      <c r="CT121" s="296"/>
      <c r="CU121" s="296"/>
    </row>
    <row r="122" spans="1:99" ht="17.25" customHeight="1">
      <c r="A122" s="3">
        <v>1</v>
      </c>
      <c r="B122" s="277"/>
      <c r="C122" s="657"/>
      <c r="D122" s="657"/>
      <c r="E122" s="657"/>
      <c r="F122" s="657"/>
      <c r="G122" s="657"/>
      <c r="H122" s="657"/>
      <c r="I122" s="657"/>
      <c r="J122" s="657"/>
      <c r="K122" s="657"/>
      <c r="L122" s="657"/>
      <c r="M122" s="657"/>
      <c r="N122" s="657"/>
      <c r="O122" s="657"/>
      <c r="P122" s="657"/>
      <c r="Q122" s="657"/>
      <c r="R122" s="657"/>
      <c r="S122" s="657"/>
      <c r="T122" s="657"/>
      <c r="U122" s="657"/>
      <c r="V122" s="657"/>
      <c r="W122" s="657"/>
      <c r="X122" s="657"/>
      <c r="Y122" s="657"/>
      <c r="Z122" s="657"/>
      <c r="AA122" s="657"/>
      <c r="AB122" s="657"/>
      <c r="AC122" s="657"/>
      <c r="AD122" s="657"/>
      <c r="AE122" s="657"/>
      <c r="AF122" s="657"/>
      <c r="AG122" s="657"/>
      <c r="AH122" s="657"/>
      <c r="AI122" s="657"/>
      <c r="AJ122" s="657"/>
      <c r="AK122" s="657"/>
      <c r="AL122" s="657"/>
      <c r="AM122" s="657"/>
      <c r="AN122" s="657"/>
      <c r="AO122" s="657"/>
      <c r="AP122" s="657"/>
      <c r="AQ122" s="657"/>
      <c r="AR122" s="657"/>
      <c r="AS122" s="657"/>
      <c r="AT122" s="657"/>
      <c r="AU122" s="657"/>
      <c r="AV122" s="657"/>
      <c r="AW122" s="657"/>
      <c r="AX122" s="657"/>
      <c r="AY122" s="657"/>
      <c r="AZ122" s="657"/>
      <c r="BA122" s="657"/>
      <c r="BB122" s="657"/>
      <c r="BC122" s="657"/>
      <c r="BD122" s="657"/>
      <c r="BE122" s="657"/>
      <c r="BF122" s="657"/>
      <c r="BG122" s="657"/>
      <c r="BH122" s="657"/>
      <c r="BI122" s="657"/>
      <c r="BJ122" s="657"/>
      <c r="BK122" s="657"/>
      <c r="BL122" s="657"/>
      <c r="BM122" s="657"/>
      <c r="BN122" s="657"/>
      <c r="BO122" s="657"/>
      <c r="BP122" s="657"/>
      <c r="BQ122" s="657"/>
      <c r="BR122" s="657"/>
      <c r="BS122" s="657"/>
      <c r="BT122" s="657"/>
      <c r="BU122" s="657"/>
      <c r="BV122" s="657"/>
      <c r="BW122" s="657"/>
      <c r="BX122" s="657"/>
      <c r="BY122" s="657"/>
      <c r="BZ122" s="657"/>
      <c r="CA122" s="657"/>
      <c r="CG122" s="3">
        <f>IF(CG123=1,CG121,CG120)</f>
        <v>1</v>
      </c>
      <c r="CH122" s="296"/>
      <c r="CI122" s="296"/>
      <c r="CJ122" s="296"/>
      <c r="CK122" s="296"/>
      <c r="CL122" s="296"/>
      <c r="CM122" s="296"/>
      <c r="CN122" s="3">
        <f>CN155-(CN130*CF120)</f>
        <v>7527.700454971315</v>
      </c>
      <c r="CO122" s="296"/>
      <c r="CP122" s="296"/>
      <c r="CQ122" s="296"/>
      <c r="CR122" s="296"/>
      <c r="CS122" s="296"/>
      <c r="CT122" s="296"/>
      <c r="CU122" s="296"/>
    </row>
    <row r="123" spans="1:99" ht="69.75" customHeight="1">
      <c r="A123" s="3">
        <v>1</v>
      </c>
      <c r="B123" s="277"/>
      <c r="C123" s="657"/>
      <c r="D123" s="657"/>
      <c r="E123" s="657"/>
      <c r="F123" s="657"/>
      <c r="G123" s="657"/>
      <c r="H123" s="657"/>
      <c r="I123" s="657"/>
      <c r="J123" s="657"/>
      <c r="K123" s="657"/>
      <c r="L123" s="657"/>
      <c r="M123" s="657"/>
      <c r="N123" s="657"/>
      <c r="O123" s="657"/>
      <c r="P123" s="657"/>
      <c r="Q123" s="657"/>
      <c r="R123" s="657"/>
      <c r="S123" s="657"/>
      <c r="T123" s="657"/>
      <c r="U123" s="657"/>
      <c r="V123" s="657"/>
      <c r="W123" s="657"/>
      <c r="X123" s="657"/>
      <c r="Y123" s="657"/>
      <c r="Z123" s="657"/>
      <c r="AA123" s="657"/>
      <c r="AB123" s="657"/>
      <c r="AC123" s="657"/>
      <c r="AD123" s="657"/>
      <c r="AE123" s="657"/>
      <c r="AF123" s="657"/>
      <c r="AG123" s="657"/>
      <c r="AH123" s="657"/>
      <c r="AI123" s="657"/>
      <c r="AJ123" s="657"/>
      <c r="AK123" s="657"/>
      <c r="AL123" s="657"/>
      <c r="AM123" s="657"/>
      <c r="AN123" s="657"/>
      <c r="AO123" s="657"/>
      <c r="AP123" s="657"/>
      <c r="AQ123" s="657"/>
      <c r="AR123" s="657"/>
      <c r="AS123" s="657"/>
      <c r="AT123" s="657"/>
      <c r="AU123" s="657"/>
      <c r="AV123" s="657"/>
      <c r="AW123" s="657"/>
      <c r="AX123" s="657"/>
      <c r="AY123" s="657"/>
      <c r="AZ123" s="657"/>
      <c r="BA123" s="657"/>
      <c r="BB123" s="657"/>
      <c r="BC123" s="657"/>
      <c r="BD123" s="657"/>
      <c r="BE123" s="657"/>
      <c r="BF123" s="657"/>
      <c r="BG123" s="657"/>
      <c r="BH123" s="657"/>
      <c r="BI123" s="657"/>
      <c r="BJ123" s="657"/>
      <c r="BK123" s="657"/>
      <c r="BL123" s="657"/>
      <c r="BM123" s="657"/>
      <c r="BN123" s="657"/>
      <c r="BO123" s="657"/>
      <c r="BP123" s="657"/>
      <c r="BQ123" s="657"/>
      <c r="BR123" s="657"/>
      <c r="BS123" s="657"/>
      <c r="BT123" s="657"/>
      <c r="BU123" s="657"/>
      <c r="BV123" s="657"/>
      <c r="BW123" s="657"/>
      <c r="BX123" s="657"/>
      <c r="BY123" s="657"/>
      <c r="BZ123" s="657"/>
      <c r="CA123" s="657"/>
      <c r="CE123" s="297" t="s">
        <v>854</v>
      </c>
      <c r="CG123" s="301">
        <f>IF(Simulatore!G90=0,1,2!CG125)</f>
        <v>1.05</v>
      </c>
      <c r="CH123" s="301">
        <v>0.01</v>
      </c>
      <c r="CI123" s="296"/>
      <c r="CJ123" s="296"/>
      <c r="CK123" s="296" t="s">
        <v>822</v>
      </c>
      <c r="CL123" s="296"/>
      <c r="CM123" s="296"/>
      <c r="CN123" s="296"/>
      <c r="CO123" s="302"/>
      <c r="CQ123" s="296"/>
      <c r="CR123" s="296"/>
      <c r="CS123" s="296"/>
      <c r="CT123" s="296"/>
      <c r="CU123" s="296"/>
    </row>
    <row r="124" spans="1:99" ht="17.25" customHeight="1">
      <c r="A124" s="3">
        <v>1</v>
      </c>
      <c r="C124" s="657"/>
      <c r="D124" s="657"/>
      <c r="E124" s="657"/>
      <c r="F124" s="657"/>
      <c r="G124" s="657"/>
      <c r="H124" s="657"/>
      <c r="I124" s="657"/>
      <c r="J124" s="657"/>
      <c r="K124" s="657"/>
      <c r="L124" s="657"/>
      <c r="M124" s="657"/>
      <c r="N124" s="657"/>
      <c r="O124" s="657"/>
      <c r="P124" s="657"/>
      <c r="Q124" s="657"/>
      <c r="R124" s="657"/>
      <c r="S124" s="657"/>
      <c r="T124" s="657"/>
      <c r="U124" s="657"/>
      <c r="V124" s="657"/>
      <c r="W124" s="657"/>
      <c r="X124" s="657"/>
      <c r="Y124" s="657"/>
      <c r="Z124" s="657"/>
      <c r="AA124" s="657"/>
      <c r="AB124" s="657"/>
      <c r="AC124" s="657"/>
      <c r="AD124" s="657"/>
      <c r="AE124" s="657"/>
      <c r="AF124" s="657"/>
      <c r="AG124" s="657"/>
      <c r="AH124" s="657"/>
      <c r="AI124" s="657"/>
      <c r="AJ124" s="657"/>
      <c r="AK124" s="657"/>
      <c r="AL124" s="657"/>
      <c r="AM124" s="657"/>
      <c r="AN124" s="657"/>
      <c r="AO124" s="657"/>
      <c r="AP124" s="657"/>
      <c r="AQ124" s="657"/>
      <c r="AR124" s="657"/>
      <c r="AS124" s="657"/>
      <c r="AT124" s="657"/>
      <c r="AU124" s="657"/>
      <c r="AV124" s="657"/>
      <c r="AW124" s="657"/>
      <c r="AX124" s="657"/>
      <c r="AY124" s="657"/>
      <c r="AZ124" s="657"/>
      <c r="BA124" s="657"/>
      <c r="BB124" s="657"/>
      <c r="BC124" s="657"/>
      <c r="BD124" s="657"/>
      <c r="BE124" s="657"/>
      <c r="BF124" s="657"/>
      <c r="BG124" s="657"/>
      <c r="BH124" s="657"/>
      <c r="BI124" s="657"/>
      <c r="BJ124" s="657"/>
      <c r="BK124" s="657"/>
      <c r="BL124" s="657"/>
      <c r="BM124" s="657"/>
      <c r="BN124" s="657"/>
      <c r="BO124" s="657"/>
      <c r="BP124" s="657"/>
      <c r="BQ124" s="657"/>
      <c r="BR124" s="657"/>
      <c r="BS124" s="657"/>
      <c r="BT124" s="657"/>
      <c r="BU124" s="657"/>
      <c r="BV124" s="657"/>
      <c r="BW124" s="657"/>
      <c r="BX124" s="657"/>
      <c r="BY124" s="657"/>
      <c r="BZ124" s="657"/>
      <c r="CA124" s="657"/>
      <c r="CD124" s="3" t="s">
        <v>201</v>
      </c>
      <c r="CE124" s="297" t="s">
        <v>821</v>
      </c>
      <c r="CF124" s="297"/>
      <c r="CG124" s="301">
        <f>CH124+1</f>
        <v>1.03</v>
      </c>
      <c r="CH124" s="301">
        <f>B!D41</f>
        <v>0.03</v>
      </c>
      <c r="CJ124" s="296"/>
      <c r="CK124" s="303">
        <f>IF(Simulatore!O11=Simulatore!U11,CK126,CK125)</f>
        <v>0.05</v>
      </c>
      <c r="CL124" s="296"/>
      <c r="CM124" s="303">
        <f>IF(Simulatore!A81=1,0,CK124)</f>
        <v>0.05</v>
      </c>
      <c r="CN124" s="296"/>
      <c r="CO124" s="302"/>
      <c r="CQ124" s="296"/>
      <c r="CR124" s="296"/>
      <c r="CS124" s="296"/>
      <c r="CT124" s="296"/>
      <c r="CU124" s="296"/>
    </row>
    <row r="125" spans="1:91" ht="16.5" customHeight="1">
      <c r="A125" s="3">
        <v>1</v>
      </c>
      <c r="CE125" s="297" t="s">
        <v>819</v>
      </c>
      <c r="CF125" s="297"/>
      <c r="CG125" s="301">
        <f>CH125+1</f>
        <v>1.05</v>
      </c>
      <c r="CH125" s="301">
        <f>B!D30</f>
        <v>0.05</v>
      </c>
      <c r="CK125" s="304">
        <f>CH125</f>
        <v>0.05</v>
      </c>
      <c r="CM125" s="302">
        <f>CM124+1</f>
        <v>1.05</v>
      </c>
    </row>
    <row r="126" spans="1:89" ht="19.5" customHeight="1">
      <c r="A126" s="3">
        <v>1</v>
      </c>
      <c r="B126" s="707" t="str">
        <f>"DETTAGLIO AMMORTAMENTO ANNUALE NEI "&amp;Simulatore!G29&amp;" ANNI"</f>
        <v>DETTAGLIO AMMORTAMENTO ANNUALE NEI 20 ANNI</v>
      </c>
      <c r="C126" s="707"/>
      <c r="D126" s="707"/>
      <c r="E126" s="707"/>
      <c r="F126" s="707"/>
      <c r="G126" s="707"/>
      <c r="H126" s="707"/>
      <c r="I126" s="707"/>
      <c r="J126" s="707"/>
      <c r="K126" s="707"/>
      <c r="L126" s="707"/>
      <c r="M126" s="707"/>
      <c r="N126" s="707"/>
      <c r="O126" s="707"/>
      <c r="P126" s="707"/>
      <c r="Q126" s="707"/>
      <c r="R126" s="707"/>
      <c r="S126" s="707"/>
      <c r="T126" s="707"/>
      <c r="U126" s="707"/>
      <c r="V126" s="707"/>
      <c r="W126" s="707"/>
      <c r="X126" s="707"/>
      <c r="Y126" s="707"/>
      <c r="Z126" s="707"/>
      <c r="AA126" s="707"/>
      <c r="AB126" s="707"/>
      <c r="AC126" s="707"/>
      <c r="AD126" s="707"/>
      <c r="AE126" s="707"/>
      <c r="AF126" s="707"/>
      <c r="AG126" s="707"/>
      <c r="AH126" s="707"/>
      <c r="AI126" s="707"/>
      <c r="AJ126" s="707"/>
      <c r="AK126" s="707"/>
      <c r="AL126" s="707"/>
      <c r="AM126" s="707"/>
      <c r="AN126" s="707"/>
      <c r="AO126" s="707"/>
      <c r="AP126" s="707"/>
      <c r="AQ126" s="707"/>
      <c r="AR126" s="707"/>
      <c r="AS126" s="707"/>
      <c r="AT126" s="707"/>
      <c r="AU126" s="707"/>
      <c r="AV126" s="707"/>
      <c r="AW126" s="707"/>
      <c r="AX126" s="707"/>
      <c r="AY126" s="707"/>
      <c r="AZ126" s="707"/>
      <c r="BA126" s="707"/>
      <c r="BB126" s="707"/>
      <c r="BC126" s="707"/>
      <c r="BD126" s="707"/>
      <c r="BE126" s="707"/>
      <c r="BF126" s="707"/>
      <c r="BG126" s="707"/>
      <c r="BH126" s="707"/>
      <c r="BI126" s="707"/>
      <c r="BJ126" s="707"/>
      <c r="BK126" s="707"/>
      <c r="BL126" s="707"/>
      <c r="BM126" s="707"/>
      <c r="BN126" s="707"/>
      <c r="BO126" s="707"/>
      <c r="BP126" s="707"/>
      <c r="BQ126" s="707"/>
      <c r="BR126" s="707"/>
      <c r="BS126" s="707"/>
      <c r="BT126" s="707"/>
      <c r="BU126" s="708"/>
      <c r="BV126" s="708"/>
      <c r="BW126" s="708"/>
      <c r="BX126" s="708"/>
      <c r="BY126" s="708"/>
      <c r="BZ126" s="708"/>
      <c r="CA126" s="708"/>
      <c r="CE126" s="297" t="s">
        <v>820</v>
      </c>
      <c r="CF126" s="297"/>
      <c r="CG126" s="301">
        <f>CH126+1</f>
        <v>1.06</v>
      </c>
      <c r="CH126" s="301">
        <f>B!D21</f>
        <v>0.06</v>
      </c>
      <c r="CK126" s="304">
        <f>CH125</f>
        <v>0.05</v>
      </c>
    </row>
    <row r="127" spans="1:115" ht="10.5" customHeight="1">
      <c r="A127" s="3">
        <v>1</v>
      </c>
      <c r="B127" s="305"/>
      <c r="C127" s="305"/>
      <c r="D127" s="305"/>
      <c r="E127" s="305"/>
      <c r="F127" s="305"/>
      <c r="G127" s="305"/>
      <c r="H127" s="305"/>
      <c r="I127" s="305"/>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5"/>
      <c r="AK127" s="305"/>
      <c r="AL127" s="305"/>
      <c r="AM127" s="305"/>
      <c r="AN127" s="305"/>
      <c r="AO127" s="305"/>
      <c r="AP127" s="305"/>
      <c r="AQ127" s="305"/>
      <c r="AR127" s="305"/>
      <c r="AS127" s="305"/>
      <c r="AT127" s="305"/>
      <c r="AU127" s="305"/>
      <c r="AV127" s="305"/>
      <c r="AW127" s="305"/>
      <c r="AX127" s="305"/>
      <c r="AY127" s="305"/>
      <c r="AZ127" s="305"/>
      <c r="BA127" s="305"/>
      <c r="BB127" s="305"/>
      <c r="BC127" s="305"/>
      <c r="BD127" s="305"/>
      <c r="BE127" s="305"/>
      <c r="BF127" s="305"/>
      <c r="BG127" s="305"/>
      <c r="BH127" s="305"/>
      <c r="BI127" s="305"/>
      <c r="BJ127" s="305"/>
      <c r="BK127" s="305"/>
      <c r="BL127" s="305"/>
      <c r="BM127" s="305"/>
      <c r="BN127" s="305"/>
      <c r="BO127" s="305"/>
      <c r="BP127" s="305"/>
      <c r="BQ127" s="305"/>
      <c r="BR127" s="305"/>
      <c r="BS127" s="305"/>
      <c r="BT127" s="305"/>
      <c r="BU127" s="8"/>
      <c r="BV127" s="8"/>
      <c r="BW127" s="8"/>
      <c r="BX127" s="8"/>
      <c r="BY127" s="8"/>
      <c r="BZ127" s="8"/>
      <c r="CA127" s="8"/>
      <c r="CB127" s="8"/>
      <c r="CC127" s="734" t="s">
        <v>827</v>
      </c>
      <c r="CE127" s="297"/>
      <c r="CF127" s="297"/>
      <c r="CG127" s="297"/>
      <c r="CH127" s="301"/>
      <c r="DK127" s="678" t="s">
        <v>829</v>
      </c>
    </row>
    <row r="128" spans="1:115" ht="18" customHeight="1">
      <c r="A128" s="3">
        <v>1</v>
      </c>
      <c r="B128" s="703" t="s">
        <v>659</v>
      </c>
      <c r="C128" s="657"/>
      <c r="D128" s="704" t="s">
        <v>817</v>
      </c>
      <c r="E128" s="705"/>
      <c r="F128" s="705"/>
      <c r="G128" s="705"/>
      <c r="H128" s="705"/>
      <c r="I128" s="705"/>
      <c r="J128" s="705"/>
      <c r="K128" s="705"/>
      <c r="L128" s="705"/>
      <c r="M128" s="704" t="s">
        <v>813</v>
      </c>
      <c r="N128" s="704"/>
      <c r="O128" s="704"/>
      <c r="P128" s="704"/>
      <c r="Q128" s="704"/>
      <c r="R128" s="704"/>
      <c r="S128" s="704"/>
      <c r="T128" s="704"/>
      <c r="U128" s="704"/>
      <c r="V128" s="704"/>
      <c r="W128" s="704"/>
      <c r="X128" s="704"/>
      <c r="Y128" s="704"/>
      <c r="Z128" s="704"/>
      <c r="AA128" s="704"/>
      <c r="AB128" s="704"/>
      <c r="AC128" s="704"/>
      <c r="AD128" s="704"/>
      <c r="AE128" s="704"/>
      <c r="AF128" s="704"/>
      <c r="AG128" s="704"/>
      <c r="AH128" s="704" t="s">
        <v>814</v>
      </c>
      <c r="AI128" s="704"/>
      <c r="AJ128" s="704"/>
      <c r="AK128" s="704"/>
      <c r="AL128" s="704"/>
      <c r="AM128" s="704"/>
      <c r="AN128" s="704"/>
      <c r="AO128" s="704"/>
      <c r="AP128" s="704"/>
      <c r="AQ128" s="704"/>
      <c r="AR128" s="704"/>
      <c r="AS128" s="704"/>
      <c r="AT128" s="704"/>
      <c r="AU128" s="704"/>
      <c r="AV128" s="704"/>
      <c r="AW128" s="704"/>
      <c r="AX128" s="704"/>
      <c r="AY128" s="704"/>
      <c r="AZ128" s="704"/>
      <c r="BA128" s="704" t="s">
        <v>824</v>
      </c>
      <c r="BB128" s="704"/>
      <c r="BC128" s="704"/>
      <c r="BD128" s="704"/>
      <c r="BE128" s="704"/>
      <c r="BF128" s="704"/>
      <c r="BG128" s="704"/>
      <c r="BH128" s="704"/>
      <c r="BI128" s="704"/>
      <c r="BJ128" s="704"/>
      <c r="BK128" s="704"/>
      <c r="BL128" s="704"/>
      <c r="BM128" s="704"/>
      <c r="BN128" s="704"/>
      <c r="BO128" s="704"/>
      <c r="BP128" s="704"/>
      <c r="BQ128" s="704"/>
      <c r="BR128" s="704" t="s">
        <v>818</v>
      </c>
      <c r="BS128" s="656"/>
      <c r="BT128" s="656"/>
      <c r="BU128" s="656"/>
      <c r="BV128" s="656"/>
      <c r="BW128" s="656"/>
      <c r="BX128" s="656"/>
      <c r="BY128" s="656"/>
      <c r="BZ128" s="656"/>
      <c r="CA128" s="656"/>
      <c r="CB128" s="8"/>
      <c r="CC128" s="726"/>
      <c r="CF128" s="695" t="s">
        <v>831</v>
      </c>
      <c r="CG128" s="695" t="s">
        <v>832</v>
      </c>
      <c r="CH128" s="695" t="s">
        <v>833</v>
      </c>
      <c r="CS128" s="3" t="s">
        <v>834</v>
      </c>
      <c r="CY128" s="695" t="s">
        <v>835</v>
      </c>
      <c r="DA128" s="695" t="s">
        <v>839</v>
      </c>
      <c r="DE128" s="3">
        <f>(Simulatore!O12-Simulatore!R12)</f>
        <v>4717.008830049999</v>
      </c>
      <c r="DK128" s="657"/>
    </row>
    <row r="129" spans="1:115" ht="28.5" customHeight="1">
      <c r="A129" s="3">
        <v>1</v>
      </c>
      <c r="B129" s="657"/>
      <c r="C129" s="657"/>
      <c r="D129" s="705"/>
      <c r="E129" s="705"/>
      <c r="F129" s="705"/>
      <c r="G129" s="705"/>
      <c r="H129" s="705"/>
      <c r="I129" s="705"/>
      <c r="J129" s="705"/>
      <c r="K129" s="705"/>
      <c r="L129" s="705"/>
      <c r="M129" s="706" t="s">
        <v>786</v>
      </c>
      <c r="N129" s="706"/>
      <c r="O129" s="706"/>
      <c r="P129" s="706"/>
      <c r="Q129" s="706"/>
      <c r="R129" s="706"/>
      <c r="S129" s="706"/>
      <c r="T129" s="706"/>
      <c r="U129" s="706"/>
      <c r="V129" s="706"/>
      <c r="W129" s="706" t="s">
        <v>790</v>
      </c>
      <c r="X129" s="706"/>
      <c r="Y129" s="706"/>
      <c r="Z129" s="706"/>
      <c r="AA129" s="706"/>
      <c r="AB129" s="706"/>
      <c r="AC129" s="706"/>
      <c r="AD129" s="706"/>
      <c r="AE129" s="706"/>
      <c r="AF129" s="706"/>
      <c r="AG129" s="706"/>
      <c r="AH129" s="706" t="s">
        <v>791</v>
      </c>
      <c r="AI129" s="706"/>
      <c r="AJ129" s="706"/>
      <c r="AK129" s="706"/>
      <c r="AL129" s="706"/>
      <c r="AM129" s="706"/>
      <c r="AN129" s="706"/>
      <c r="AO129" s="706"/>
      <c r="AP129" s="706"/>
      <c r="AQ129" s="706"/>
      <c r="AR129" s="706" t="s">
        <v>787</v>
      </c>
      <c r="AS129" s="706"/>
      <c r="AT129" s="706"/>
      <c r="AU129" s="706"/>
      <c r="AV129" s="706"/>
      <c r="AW129" s="706"/>
      <c r="AX129" s="706"/>
      <c r="AY129" s="706"/>
      <c r="AZ129" s="706"/>
      <c r="BA129" s="706" t="s">
        <v>815</v>
      </c>
      <c r="BB129" s="706"/>
      <c r="BC129" s="706"/>
      <c r="BD129" s="706"/>
      <c r="BE129" s="706"/>
      <c r="BF129" s="706"/>
      <c r="BG129" s="706"/>
      <c r="BH129" s="706"/>
      <c r="BI129" s="706"/>
      <c r="BJ129" s="706" t="s">
        <v>816</v>
      </c>
      <c r="BK129" s="706"/>
      <c r="BL129" s="706"/>
      <c r="BM129" s="706"/>
      <c r="BN129" s="706"/>
      <c r="BO129" s="706"/>
      <c r="BP129" s="706"/>
      <c r="BQ129" s="706"/>
      <c r="BR129" s="656"/>
      <c r="BS129" s="656"/>
      <c r="BT129" s="656"/>
      <c r="BU129" s="656"/>
      <c r="BV129" s="656"/>
      <c r="BW129" s="656"/>
      <c r="BX129" s="656"/>
      <c r="BY129" s="656"/>
      <c r="BZ129" s="656"/>
      <c r="CA129" s="656"/>
      <c r="CB129" s="8"/>
      <c r="CC129" s="726"/>
      <c r="CD129" s="306" t="s">
        <v>830</v>
      </c>
      <c r="CE129" s="307" t="s">
        <v>828</v>
      </c>
      <c r="CF129" s="695"/>
      <c r="CG129" s="695"/>
      <c r="CH129" s="695"/>
      <c r="CI129" s="298" t="s">
        <v>52</v>
      </c>
      <c r="CJ129" s="296"/>
      <c r="CK129" s="178" t="s">
        <v>494</v>
      </c>
      <c r="CL129" s="296"/>
      <c r="CM129" s="688" t="s">
        <v>823</v>
      </c>
      <c r="CN129" s="719"/>
      <c r="CP129" s="267" t="s">
        <v>656</v>
      </c>
      <c r="CQ129" s="308" t="s">
        <v>655</v>
      </c>
      <c r="CR129" s="296"/>
      <c r="CS129" s="309">
        <f>A!J12</f>
        <v>0.002</v>
      </c>
      <c r="CT129" s="308" t="s">
        <v>655</v>
      </c>
      <c r="CU129" s="296"/>
      <c r="CV129" s="308" t="s">
        <v>656</v>
      </c>
      <c r="CW129" s="310" t="s">
        <v>825</v>
      </c>
      <c r="CX129" s="296"/>
      <c r="CY129" s="657"/>
      <c r="DA129" s="657"/>
      <c r="DC129" s="178" t="s">
        <v>838</v>
      </c>
      <c r="DE129" s="3" t="s">
        <v>656</v>
      </c>
      <c r="DF129" s="3" t="s">
        <v>655</v>
      </c>
      <c r="DH129" s="261" t="s">
        <v>656</v>
      </c>
      <c r="DI129" s="261" t="s">
        <v>655</v>
      </c>
      <c r="DK129" s="657"/>
    </row>
    <row r="130" spans="1:116" ht="15" customHeight="1">
      <c r="A130" s="3">
        <v>1</v>
      </c>
      <c r="B130" s="689">
        <v>1</v>
      </c>
      <c r="C130" s="689"/>
      <c r="D130" s="726">
        <f>CH130</f>
        <v>2379.670881</v>
      </c>
      <c r="E130" s="726"/>
      <c r="F130" s="726"/>
      <c r="G130" s="726"/>
      <c r="H130" s="726"/>
      <c r="I130" s="726"/>
      <c r="J130" s="726"/>
      <c r="K130" s="726"/>
      <c r="L130" s="726"/>
      <c r="M130" s="726">
        <f>(B!D4+B!D11)/Simulatore!G27</f>
        <v>1912.8166243003689</v>
      </c>
      <c r="N130" s="726"/>
      <c r="O130" s="726"/>
      <c r="P130" s="726"/>
      <c r="Q130" s="726"/>
      <c r="R130" s="726"/>
      <c r="S130" s="726"/>
      <c r="T130" s="726"/>
      <c r="U130" s="726"/>
      <c r="V130" s="726"/>
      <c r="W130" s="723">
        <v>0</v>
      </c>
      <c r="X130" s="723"/>
      <c r="Y130" s="723"/>
      <c r="Z130" s="723"/>
      <c r="AA130" s="723"/>
      <c r="AB130" s="723"/>
      <c r="AC130" s="723"/>
      <c r="AD130" s="723"/>
      <c r="AE130" s="723"/>
      <c r="AF130" s="723"/>
      <c r="AG130" s="723"/>
      <c r="AH130" s="723">
        <f aca="true" t="shared" si="1" ref="AH130:AH154">IF(B130&lt;=$CF$120,CW130,0)</f>
        <v>1120.5869412482884</v>
      </c>
      <c r="AI130" s="723"/>
      <c r="AJ130" s="723"/>
      <c r="AK130" s="723"/>
      <c r="AL130" s="723"/>
      <c r="AM130" s="723"/>
      <c r="AN130" s="723"/>
      <c r="AO130" s="723"/>
      <c r="AP130" s="723"/>
      <c r="AQ130" s="723"/>
      <c r="AR130" s="723">
        <f>Simulatore!U14/10</f>
        <v>802.0321576338398</v>
      </c>
      <c r="AS130" s="723"/>
      <c r="AT130" s="723"/>
      <c r="AU130" s="723"/>
      <c r="AV130" s="723"/>
      <c r="AW130" s="723"/>
      <c r="AX130" s="723"/>
      <c r="AY130" s="723"/>
      <c r="AZ130" s="723"/>
      <c r="BA130" s="723">
        <f>AR130+AH130-W130-M130</f>
        <v>9.80247458175927</v>
      </c>
      <c r="BB130" s="723"/>
      <c r="BC130" s="723"/>
      <c r="BD130" s="723"/>
      <c r="BE130" s="723"/>
      <c r="BF130" s="723"/>
      <c r="BG130" s="723"/>
      <c r="BH130" s="723"/>
      <c r="BI130" s="723"/>
      <c r="BJ130" s="723">
        <f aca="true" t="shared" si="2" ref="BJ130:BJ154">IF(B130&lt;=$CF$120,CD130,0)</f>
        <v>9.80247458175927</v>
      </c>
      <c r="BK130" s="723"/>
      <c r="BL130" s="723"/>
      <c r="BM130" s="723"/>
      <c r="BN130" s="723"/>
      <c r="BO130" s="723"/>
      <c r="BP130" s="723"/>
      <c r="BQ130" s="723"/>
      <c r="BR130" s="723">
        <f>D130-BA130</f>
        <v>2369.8684064182407</v>
      </c>
      <c r="BS130" s="723"/>
      <c r="BT130" s="723"/>
      <c r="BU130" s="723"/>
      <c r="BV130" s="723"/>
      <c r="BW130" s="723"/>
      <c r="BX130" s="723"/>
      <c r="BY130" s="723"/>
      <c r="BZ130" s="723"/>
      <c r="CA130" s="723"/>
      <c r="CB130" s="8"/>
      <c r="CC130" s="285">
        <f aca="true" t="shared" si="3" ref="CC130:CC154">IF(B130&lt;=$CF$120,DK130,0)</f>
        <v>1120.5869412482884</v>
      </c>
      <c r="CD130" s="285">
        <f>BA130</f>
        <v>9.80247458175927</v>
      </c>
      <c r="CE130" s="311">
        <f>Simulatore!U14/10</f>
        <v>802.0321576338398</v>
      </c>
      <c r="CF130" s="285">
        <f>Simulatore!H10</f>
        <v>1600</v>
      </c>
      <c r="CG130" s="285">
        <f>E!W10</f>
        <v>779.670881</v>
      </c>
      <c r="CH130" s="285">
        <f>CF130+CG130</f>
        <v>2379.670881</v>
      </c>
      <c r="CI130" s="285">
        <f>A!J34/20</f>
        <v>674.242109362993</v>
      </c>
      <c r="CJ130" s="285"/>
      <c r="CK130" s="285">
        <f>(A!$B$221*A!$J$6)+(A!D221*A!J6)</f>
        <v>200</v>
      </c>
      <c r="CL130" s="285"/>
      <c r="CM130" s="286">
        <f>(Simulatore!O11-Simulatore!U11)/CF120</f>
        <v>152.87999999999994</v>
      </c>
      <c r="CN130" s="311">
        <f>(Simulatore!O12-Simulatore!U12)/CF120</f>
        <v>271.4925389196428</v>
      </c>
      <c r="CP130" s="285">
        <f>CM130+CN130</f>
        <v>424.37253891964275</v>
      </c>
      <c r="CQ130" s="285">
        <f>A!J40/20</f>
        <v>674.242109362993</v>
      </c>
      <c r="CS130" s="285">
        <f>10*CS129+1</f>
        <v>1.02</v>
      </c>
      <c r="CT130" s="286">
        <f>CQ130*CS130</f>
        <v>687.7269515502529</v>
      </c>
      <c r="CU130" s="311"/>
      <c r="CV130" s="312">
        <f>CP130*CS130</f>
        <v>432.85998969803563</v>
      </c>
      <c r="CW130" s="311">
        <f>CT130+CV130</f>
        <v>1120.5869412482884</v>
      </c>
      <c r="CY130" s="285">
        <f>D130-AH130-AR130</f>
        <v>457.05178211787177</v>
      </c>
      <c r="CZ130" s="285">
        <f aca="true" t="shared" si="4" ref="CZ130:CZ154">M130+CY130</f>
        <v>2369.8684064182407</v>
      </c>
      <c r="DA130" s="285">
        <f>IF(CY130&lt;=0,0,CY130)</f>
        <v>457.05178211787177</v>
      </c>
      <c r="DB130" s="3">
        <f aca="true" t="shared" si="5" ref="DB130:DB154">IF(CY130&lt;=0,CZ130,M130)</f>
        <v>1912.8166243003689</v>
      </c>
      <c r="DC130" s="3">
        <f aca="true" t="shared" si="6" ref="DC130:DC154">IF(B130&lt;=$CF$119,DB130,0)</f>
        <v>1912.8166243003689</v>
      </c>
      <c r="DD130" s="3">
        <v>1</v>
      </c>
      <c r="DE130" s="285">
        <f>((Simulatore!O11-Simulatore!U11)+(Simulatore!O12-Simulatore!U12))/CF120</f>
        <v>424.37253891964275</v>
      </c>
      <c r="DF130" s="285">
        <f>A!J40/20</f>
        <v>674.242109362993</v>
      </c>
      <c r="DH130" s="286">
        <f aca="true" t="shared" si="7" ref="DH130:DH154">DE130*CS130</f>
        <v>432.85998969803563</v>
      </c>
      <c r="DI130" s="286">
        <f aca="true" t="shared" si="8" ref="DI130:DI154">DF130*CS130</f>
        <v>687.7269515502529</v>
      </c>
      <c r="DK130" s="286">
        <f>DH130+DI130</f>
        <v>1120.5869412482884</v>
      </c>
      <c r="DL130" s="3">
        <f>IF(B130=$CF$119,BJ130,0)</f>
        <v>0</v>
      </c>
    </row>
    <row r="131" spans="1:116" ht="15" customHeight="1">
      <c r="A131" s="3">
        <f>IF(D131=0,0,1)</f>
        <v>1</v>
      </c>
      <c r="B131" s="689">
        <v>2</v>
      </c>
      <c r="C131" s="689"/>
      <c r="D131" s="726">
        <f aca="true" t="shared" si="9" ref="D131:D154">IF(B131&lt;=$CF$120,CH131,0)</f>
        <v>2514.65442505</v>
      </c>
      <c r="E131" s="726"/>
      <c r="F131" s="726"/>
      <c r="G131" s="726"/>
      <c r="H131" s="726"/>
      <c r="I131" s="726"/>
      <c r="J131" s="726"/>
      <c r="K131" s="726"/>
      <c r="L131" s="726"/>
      <c r="M131" s="726">
        <f aca="true" t="shared" si="10" ref="M131:M154">IF(B131&lt;=$CF$119,$M$130,0)</f>
        <v>1912.8166243003689</v>
      </c>
      <c r="N131" s="726"/>
      <c r="O131" s="726"/>
      <c r="P131" s="726"/>
      <c r="Q131" s="726"/>
      <c r="R131" s="726"/>
      <c r="S131" s="726"/>
      <c r="T131" s="726"/>
      <c r="U131" s="726"/>
      <c r="V131" s="726"/>
      <c r="W131" s="723">
        <f>CK130/2</f>
        <v>100</v>
      </c>
      <c r="X131" s="723"/>
      <c r="Y131" s="723"/>
      <c r="Z131" s="723"/>
      <c r="AA131" s="723"/>
      <c r="AB131" s="723"/>
      <c r="AC131" s="723"/>
      <c r="AD131" s="723"/>
      <c r="AE131" s="723"/>
      <c r="AF131" s="723"/>
      <c r="AG131" s="723"/>
      <c r="AH131" s="723">
        <f t="shared" si="1"/>
        <v>1175.8655159493094</v>
      </c>
      <c r="AI131" s="723"/>
      <c r="AJ131" s="723"/>
      <c r="AK131" s="723"/>
      <c r="AL131" s="723"/>
      <c r="AM131" s="723"/>
      <c r="AN131" s="723"/>
      <c r="AO131" s="723"/>
      <c r="AP131" s="723"/>
      <c r="AQ131" s="723"/>
      <c r="AR131" s="723">
        <f>AR130</f>
        <v>802.0321576338398</v>
      </c>
      <c r="AS131" s="723"/>
      <c r="AT131" s="723"/>
      <c r="AU131" s="723"/>
      <c r="AV131" s="723"/>
      <c r="AW131" s="723"/>
      <c r="AX131" s="723"/>
      <c r="AY131" s="723"/>
      <c r="AZ131" s="723"/>
      <c r="BA131" s="723">
        <f aca="true" t="shared" si="11" ref="BA131:BA154">AR131+AH131-W131-M131</f>
        <v>-34.91895071721956</v>
      </c>
      <c r="BB131" s="723"/>
      <c r="BC131" s="723"/>
      <c r="BD131" s="723"/>
      <c r="BE131" s="723"/>
      <c r="BF131" s="723"/>
      <c r="BG131" s="723"/>
      <c r="BH131" s="723"/>
      <c r="BI131" s="723"/>
      <c r="BJ131" s="723">
        <f t="shared" si="2"/>
        <v>-25.11647613546029</v>
      </c>
      <c r="BK131" s="723"/>
      <c r="BL131" s="723"/>
      <c r="BM131" s="723"/>
      <c r="BN131" s="723"/>
      <c r="BO131" s="723"/>
      <c r="BP131" s="723"/>
      <c r="BQ131" s="723"/>
      <c r="BR131" s="723">
        <f>D131-BA131</f>
        <v>2549.5733757672197</v>
      </c>
      <c r="BS131" s="723"/>
      <c r="BT131" s="723"/>
      <c r="BU131" s="723"/>
      <c r="BV131" s="723"/>
      <c r="BW131" s="723"/>
      <c r="BX131" s="723"/>
      <c r="BY131" s="723"/>
      <c r="BZ131" s="723"/>
      <c r="CA131" s="723"/>
      <c r="CB131" s="8"/>
      <c r="CC131" s="285">
        <f t="shared" si="3"/>
        <v>1118.3897119517233</v>
      </c>
      <c r="CD131" s="285">
        <f aca="true" t="shared" si="12" ref="CD131:CD154">CD130+BA131</f>
        <v>-25.11647613546029</v>
      </c>
      <c r="CF131" s="285">
        <f aca="true" t="shared" si="13" ref="CF131:CF154">CF130*$CG$126</f>
        <v>1696</v>
      </c>
      <c r="CG131" s="285">
        <f aca="true" t="shared" si="14" ref="CG131:CG154">CG130*$CG$125</f>
        <v>818.6544250500001</v>
      </c>
      <c r="CH131" s="285">
        <f>CF131+CG131</f>
        <v>2514.65442505</v>
      </c>
      <c r="CI131" s="285">
        <f>CI130*$CG$125</f>
        <v>707.9542148311427</v>
      </c>
      <c r="CJ131" s="285"/>
      <c r="CK131" s="285">
        <f aca="true" t="shared" si="15" ref="CK131:CK140">CK130*$CG$124</f>
        <v>206</v>
      </c>
      <c r="CL131" s="285"/>
      <c r="CM131" s="286">
        <f aca="true" t="shared" si="16" ref="CM131:CM154">CM130*$CG$126</f>
        <v>162.05279999999993</v>
      </c>
      <c r="CN131" s="311">
        <f aca="true" t="shared" si="17" ref="CN131:CN154">CN130*$CG$125</f>
        <v>285.067165865625</v>
      </c>
      <c r="CP131" s="285">
        <f aca="true" t="shared" si="18" ref="CP131:CP154">CM131+CN131</f>
        <v>447.1199658656249</v>
      </c>
      <c r="CQ131" s="285">
        <f>CQ130*$CG$123</f>
        <v>707.9542148311427</v>
      </c>
      <c r="CS131" s="285">
        <f>CS130-$CS$129</f>
        <v>1.018</v>
      </c>
      <c r="CT131" s="286">
        <f aca="true" t="shared" si="19" ref="CT131:CT154">CQ131*CS131</f>
        <v>720.6973906981033</v>
      </c>
      <c r="CU131" s="311"/>
      <c r="CV131" s="312">
        <f aca="true" t="shared" si="20" ref="CV131:CV154">CP131*CS131</f>
        <v>455.16812525120616</v>
      </c>
      <c r="CW131" s="311">
        <f aca="true" t="shared" si="21" ref="CW131:CW154">CT131+CV131</f>
        <v>1175.8655159493094</v>
      </c>
      <c r="CY131" s="285">
        <f aca="true" t="shared" si="22" ref="CY131:CY154">D131-AH131-AR131</f>
        <v>536.7567514668509</v>
      </c>
      <c r="CZ131" s="285">
        <f t="shared" si="4"/>
        <v>2449.5733757672197</v>
      </c>
      <c r="DA131" s="285">
        <f aca="true" t="shared" si="23" ref="DA131:DA154">IF(CY131&lt;=0,0,CY131)</f>
        <v>536.7567514668509</v>
      </c>
      <c r="DB131" s="3">
        <f t="shared" si="5"/>
        <v>1912.8166243003689</v>
      </c>
      <c r="DC131" s="3">
        <f t="shared" si="6"/>
        <v>1912.8166243003689</v>
      </c>
      <c r="DD131" s="3">
        <v>2</v>
      </c>
      <c r="DE131" s="285">
        <f>DE130</f>
        <v>424.37253891964275</v>
      </c>
      <c r="DF131" s="285">
        <f>DF130</f>
        <v>674.242109362993</v>
      </c>
      <c r="DH131" s="286">
        <f t="shared" si="7"/>
        <v>432.01124462019635</v>
      </c>
      <c r="DI131" s="286">
        <f t="shared" si="8"/>
        <v>686.3784673315268</v>
      </c>
      <c r="DK131" s="286">
        <f aca="true" t="shared" si="24" ref="DK131:DK154">DH131+DI131</f>
        <v>1118.3897119517233</v>
      </c>
      <c r="DL131" s="3">
        <f aca="true" t="shared" si="25" ref="DL131:DL154">IF(B131=$CF$119,BJ131,0)</f>
        <v>0</v>
      </c>
    </row>
    <row r="132" spans="1:116" ht="15" customHeight="1">
      <c r="A132" s="3">
        <f aca="true" t="shared" si="26" ref="A132:A153">IF(D132=0,0,1)</f>
        <v>1</v>
      </c>
      <c r="B132" s="689">
        <v>3</v>
      </c>
      <c r="C132" s="689"/>
      <c r="D132" s="726">
        <f t="shared" si="9"/>
        <v>2657.3471463025003</v>
      </c>
      <c r="E132" s="726"/>
      <c r="F132" s="726"/>
      <c r="G132" s="726"/>
      <c r="H132" s="726"/>
      <c r="I132" s="726"/>
      <c r="J132" s="726"/>
      <c r="K132" s="726"/>
      <c r="L132" s="726"/>
      <c r="M132" s="726">
        <f t="shared" si="10"/>
        <v>1912.8166243003689</v>
      </c>
      <c r="N132" s="726"/>
      <c r="O132" s="726"/>
      <c r="P132" s="726"/>
      <c r="Q132" s="726"/>
      <c r="R132" s="726"/>
      <c r="S132" s="726"/>
      <c r="T132" s="726"/>
      <c r="U132" s="726"/>
      <c r="V132" s="726"/>
      <c r="W132" s="723">
        <f aca="true" t="shared" si="27" ref="W132:W154">IF(B132&lt;=$CF$120,CK132,0)</f>
        <v>212.18</v>
      </c>
      <c r="X132" s="723"/>
      <c r="Y132" s="723"/>
      <c r="Z132" s="723"/>
      <c r="AA132" s="723"/>
      <c r="AB132" s="723"/>
      <c r="AC132" s="723"/>
      <c r="AD132" s="723"/>
      <c r="AE132" s="723"/>
      <c r="AF132" s="723"/>
      <c r="AG132" s="723"/>
      <c r="AH132" s="723">
        <f t="shared" si="1"/>
        <v>1233.879592415312</v>
      </c>
      <c r="AI132" s="723"/>
      <c r="AJ132" s="723"/>
      <c r="AK132" s="723"/>
      <c r="AL132" s="723"/>
      <c r="AM132" s="723"/>
      <c r="AN132" s="723"/>
      <c r="AO132" s="723"/>
      <c r="AP132" s="723"/>
      <c r="AQ132" s="723"/>
      <c r="AR132" s="723">
        <f aca="true" t="shared" si="28" ref="AR132:AR139">AR131</f>
        <v>802.0321576338398</v>
      </c>
      <c r="AS132" s="723"/>
      <c r="AT132" s="723"/>
      <c r="AU132" s="723"/>
      <c r="AV132" s="723"/>
      <c r="AW132" s="723"/>
      <c r="AX132" s="723"/>
      <c r="AY132" s="723"/>
      <c r="AZ132" s="723"/>
      <c r="BA132" s="723">
        <f t="shared" si="11"/>
        <v>-89.08487425121734</v>
      </c>
      <c r="BB132" s="723"/>
      <c r="BC132" s="723"/>
      <c r="BD132" s="723"/>
      <c r="BE132" s="723"/>
      <c r="BF132" s="723"/>
      <c r="BG132" s="723"/>
      <c r="BH132" s="723"/>
      <c r="BI132" s="723"/>
      <c r="BJ132" s="723">
        <f t="shared" si="2"/>
        <v>-114.20135038667763</v>
      </c>
      <c r="BK132" s="723"/>
      <c r="BL132" s="723"/>
      <c r="BM132" s="723"/>
      <c r="BN132" s="723"/>
      <c r="BO132" s="723"/>
      <c r="BP132" s="723"/>
      <c r="BQ132" s="723"/>
      <c r="BR132" s="723">
        <f aca="true" t="shared" si="29" ref="BR132:BR154">D132-BA132</f>
        <v>2746.432020553718</v>
      </c>
      <c r="BS132" s="723"/>
      <c r="BT132" s="723"/>
      <c r="BU132" s="723"/>
      <c r="BV132" s="723"/>
      <c r="BW132" s="723"/>
      <c r="BX132" s="723"/>
      <c r="BY132" s="723"/>
      <c r="BZ132" s="723"/>
      <c r="CA132" s="723"/>
      <c r="CB132" s="8"/>
      <c r="CC132" s="285">
        <f t="shared" si="3"/>
        <v>1116.192482655158</v>
      </c>
      <c r="CD132" s="285">
        <f t="shared" si="12"/>
        <v>-114.20135038667763</v>
      </c>
      <c r="CF132" s="285">
        <f t="shared" si="13"/>
        <v>1797.76</v>
      </c>
      <c r="CG132" s="285">
        <f t="shared" si="14"/>
        <v>859.5871463025002</v>
      </c>
      <c r="CH132" s="285">
        <f aca="true" t="shared" si="30" ref="CH132:CH155">CF132+CG132</f>
        <v>2657.3471463025003</v>
      </c>
      <c r="CI132" s="285">
        <f aca="true" t="shared" si="31" ref="CI132:CI154">CI131*$CG$125</f>
        <v>743.3519255726999</v>
      </c>
      <c r="CJ132" s="285"/>
      <c r="CK132" s="285">
        <f t="shared" si="15"/>
        <v>212.18</v>
      </c>
      <c r="CL132" s="285"/>
      <c r="CM132" s="286">
        <f t="shared" si="16"/>
        <v>171.77596799999995</v>
      </c>
      <c r="CN132" s="311">
        <f t="shared" si="17"/>
        <v>299.32052415890627</v>
      </c>
      <c r="CP132" s="285">
        <f t="shared" si="18"/>
        <v>471.09649215890624</v>
      </c>
      <c r="CQ132" s="285">
        <f aca="true" t="shared" si="32" ref="CQ132:CQ149">CQ131*$CG$123</f>
        <v>743.3519255726999</v>
      </c>
      <c r="CS132" s="285">
        <f aca="true" t="shared" si="33" ref="CS132:CS154">CS131-$CS$129</f>
        <v>1.016</v>
      </c>
      <c r="CT132" s="286">
        <f t="shared" si="19"/>
        <v>755.2455563818631</v>
      </c>
      <c r="CU132" s="311"/>
      <c r="CV132" s="312">
        <f t="shared" si="20"/>
        <v>478.63403603344875</v>
      </c>
      <c r="CW132" s="311">
        <f t="shared" si="21"/>
        <v>1233.879592415312</v>
      </c>
      <c r="CY132" s="285">
        <f t="shared" si="22"/>
        <v>621.4353962533486</v>
      </c>
      <c r="CZ132" s="285">
        <f t="shared" si="4"/>
        <v>2534.2520205537176</v>
      </c>
      <c r="DA132" s="285">
        <f t="shared" si="23"/>
        <v>621.4353962533486</v>
      </c>
      <c r="DB132" s="3">
        <f t="shared" si="5"/>
        <v>1912.8166243003689</v>
      </c>
      <c r="DC132" s="3">
        <f t="shared" si="6"/>
        <v>1912.8166243003689</v>
      </c>
      <c r="DD132" s="3">
        <v>3</v>
      </c>
      <c r="DE132" s="285">
        <f aca="true" t="shared" si="34" ref="DE132:DF147">DE131</f>
        <v>424.37253891964275</v>
      </c>
      <c r="DF132" s="285">
        <f t="shared" si="34"/>
        <v>674.242109362993</v>
      </c>
      <c r="DH132" s="286">
        <f t="shared" si="7"/>
        <v>431.16249954235707</v>
      </c>
      <c r="DI132" s="286">
        <f t="shared" si="8"/>
        <v>685.0299831128009</v>
      </c>
      <c r="DK132" s="286">
        <f t="shared" si="24"/>
        <v>1116.192482655158</v>
      </c>
      <c r="DL132" s="3">
        <f t="shared" si="25"/>
        <v>0</v>
      </c>
    </row>
    <row r="133" spans="1:116" ht="15" customHeight="1">
      <c r="A133" s="3">
        <f t="shared" si="26"/>
        <v>1</v>
      </c>
      <c r="B133" s="689">
        <v>4</v>
      </c>
      <c r="C133" s="689"/>
      <c r="D133" s="726">
        <f t="shared" si="9"/>
        <v>2808.1921036176254</v>
      </c>
      <c r="E133" s="726"/>
      <c r="F133" s="726"/>
      <c r="G133" s="726"/>
      <c r="H133" s="726"/>
      <c r="I133" s="726"/>
      <c r="J133" s="726"/>
      <c r="K133" s="726"/>
      <c r="L133" s="726"/>
      <c r="M133" s="726">
        <f t="shared" si="10"/>
        <v>1912.8166243003689</v>
      </c>
      <c r="N133" s="726"/>
      <c r="O133" s="726"/>
      <c r="P133" s="726"/>
      <c r="Q133" s="726"/>
      <c r="R133" s="726"/>
      <c r="S133" s="726"/>
      <c r="T133" s="726"/>
      <c r="U133" s="726"/>
      <c r="V133" s="726"/>
      <c r="W133" s="723">
        <f t="shared" si="27"/>
        <v>218.5454</v>
      </c>
      <c r="X133" s="723"/>
      <c r="Y133" s="723"/>
      <c r="Z133" s="723"/>
      <c r="AA133" s="723"/>
      <c r="AB133" s="723"/>
      <c r="AC133" s="723"/>
      <c r="AD133" s="723"/>
      <c r="AE133" s="723"/>
      <c r="AF133" s="723"/>
      <c r="AG133" s="723"/>
      <c r="AH133" s="723">
        <f t="shared" si="1"/>
        <v>1294.7650386743612</v>
      </c>
      <c r="AI133" s="723"/>
      <c r="AJ133" s="723"/>
      <c r="AK133" s="723"/>
      <c r="AL133" s="723"/>
      <c r="AM133" s="723"/>
      <c r="AN133" s="723"/>
      <c r="AO133" s="723"/>
      <c r="AP133" s="723"/>
      <c r="AQ133" s="723"/>
      <c r="AR133" s="723">
        <f t="shared" si="28"/>
        <v>802.0321576338398</v>
      </c>
      <c r="AS133" s="723"/>
      <c r="AT133" s="723"/>
      <c r="AU133" s="723"/>
      <c r="AV133" s="723"/>
      <c r="AW133" s="723"/>
      <c r="AX133" s="723"/>
      <c r="AY133" s="723"/>
      <c r="AZ133" s="723"/>
      <c r="BA133" s="723">
        <f t="shared" si="11"/>
        <v>-34.56482799216792</v>
      </c>
      <c r="BB133" s="723"/>
      <c r="BC133" s="723"/>
      <c r="BD133" s="723"/>
      <c r="BE133" s="723"/>
      <c r="BF133" s="723"/>
      <c r="BG133" s="723"/>
      <c r="BH133" s="723"/>
      <c r="BI133" s="723"/>
      <c r="BJ133" s="723">
        <f t="shared" si="2"/>
        <v>-148.76617837884555</v>
      </c>
      <c r="BK133" s="723"/>
      <c r="BL133" s="723"/>
      <c r="BM133" s="723"/>
      <c r="BN133" s="723"/>
      <c r="BO133" s="723"/>
      <c r="BP133" s="723"/>
      <c r="BQ133" s="723"/>
      <c r="BR133" s="723">
        <f t="shared" si="29"/>
        <v>2842.7569316097934</v>
      </c>
      <c r="BS133" s="723"/>
      <c r="BT133" s="723"/>
      <c r="BU133" s="723"/>
      <c r="BV133" s="723"/>
      <c r="BW133" s="723"/>
      <c r="BX133" s="723"/>
      <c r="BY133" s="723"/>
      <c r="BZ133" s="723"/>
      <c r="CA133" s="723"/>
      <c r="CB133" s="8"/>
      <c r="CC133" s="285">
        <f t="shared" si="3"/>
        <v>1113.9952533585927</v>
      </c>
      <c r="CD133" s="285">
        <f t="shared" si="12"/>
        <v>-148.76617837884555</v>
      </c>
      <c r="CF133" s="285">
        <f t="shared" si="13"/>
        <v>1905.6256</v>
      </c>
      <c r="CG133" s="285">
        <f t="shared" si="14"/>
        <v>902.5665036176252</v>
      </c>
      <c r="CH133" s="285">
        <f t="shared" si="30"/>
        <v>2808.1921036176254</v>
      </c>
      <c r="CI133" s="285">
        <f t="shared" si="31"/>
        <v>780.519521851335</v>
      </c>
      <c r="CJ133" s="285"/>
      <c r="CK133" s="285">
        <f t="shared" si="15"/>
        <v>218.5454</v>
      </c>
      <c r="CL133" s="285"/>
      <c r="CM133" s="286">
        <f t="shared" si="16"/>
        <v>182.08252607999995</v>
      </c>
      <c r="CN133" s="311">
        <f t="shared" si="17"/>
        <v>314.2865503668516</v>
      </c>
      <c r="CP133" s="285">
        <f t="shared" si="18"/>
        <v>496.3690764468515</v>
      </c>
      <c r="CQ133" s="285">
        <f t="shared" si="32"/>
        <v>780.519521851335</v>
      </c>
      <c r="CS133" s="285">
        <f t="shared" si="33"/>
        <v>1.014</v>
      </c>
      <c r="CT133" s="286">
        <f t="shared" si="19"/>
        <v>791.4467951572536</v>
      </c>
      <c r="CU133" s="311"/>
      <c r="CV133" s="312">
        <f t="shared" si="20"/>
        <v>503.3182435171075</v>
      </c>
      <c r="CW133" s="311">
        <f t="shared" si="21"/>
        <v>1294.7650386743612</v>
      </c>
      <c r="CY133" s="285">
        <f t="shared" si="22"/>
        <v>711.3949073094244</v>
      </c>
      <c r="CZ133" s="285">
        <f t="shared" si="4"/>
        <v>2624.2115316097934</v>
      </c>
      <c r="DA133" s="285">
        <f t="shared" si="23"/>
        <v>711.3949073094244</v>
      </c>
      <c r="DB133" s="3">
        <f t="shared" si="5"/>
        <v>1912.8166243003689</v>
      </c>
      <c r="DC133" s="3">
        <f t="shared" si="6"/>
        <v>1912.8166243003689</v>
      </c>
      <c r="DD133" s="3">
        <v>4</v>
      </c>
      <c r="DE133" s="285">
        <f t="shared" si="34"/>
        <v>424.37253891964275</v>
      </c>
      <c r="DF133" s="285">
        <f t="shared" si="34"/>
        <v>674.242109362993</v>
      </c>
      <c r="DH133" s="286">
        <f t="shared" si="7"/>
        <v>430.31375446451773</v>
      </c>
      <c r="DI133" s="286">
        <f t="shared" si="8"/>
        <v>683.6814988940749</v>
      </c>
      <c r="DK133" s="286">
        <f t="shared" si="24"/>
        <v>1113.9952533585927</v>
      </c>
      <c r="DL133" s="3">
        <f t="shared" si="25"/>
        <v>0</v>
      </c>
    </row>
    <row r="134" spans="1:116" ht="15" customHeight="1">
      <c r="A134" s="3">
        <f t="shared" si="26"/>
        <v>1</v>
      </c>
      <c r="B134" s="689">
        <v>5</v>
      </c>
      <c r="C134" s="689"/>
      <c r="D134" s="726">
        <f t="shared" si="9"/>
        <v>2967.657964798507</v>
      </c>
      <c r="E134" s="726"/>
      <c r="F134" s="726"/>
      <c r="G134" s="726"/>
      <c r="H134" s="726"/>
      <c r="I134" s="726"/>
      <c r="J134" s="726"/>
      <c r="K134" s="726"/>
      <c r="L134" s="726"/>
      <c r="M134" s="726">
        <f t="shared" si="10"/>
        <v>1912.8166243003689</v>
      </c>
      <c r="N134" s="726"/>
      <c r="O134" s="726"/>
      <c r="P134" s="726"/>
      <c r="Q134" s="726"/>
      <c r="R134" s="726"/>
      <c r="S134" s="726"/>
      <c r="T134" s="726"/>
      <c r="U134" s="726"/>
      <c r="V134" s="726"/>
      <c r="W134" s="723">
        <f t="shared" si="27"/>
        <v>225.101762</v>
      </c>
      <c r="X134" s="723"/>
      <c r="Y134" s="723"/>
      <c r="Z134" s="723"/>
      <c r="AA134" s="723"/>
      <c r="AB134" s="723"/>
      <c r="AC134" s="723"/>
      <c r="AD134" s="723"/>
      <c r="AE134" s="723"/>
      <c r="AF134" s="723"/>
      <c r="AG134" s="723"/>
      <c r="AH134" s="723">
        <f t="shared" si="1"/>
        <v>1358.6644997155827</v>
      </c>
      <c r="AI134" s="723"/>
      <c r="AJ134" s="723"/>
      <c r="AK134" s="723"/>
      <c r="AL134" s="723"/>
      <c r="AM134" s="723"/>
      <c r="AN134" s="723"/>
      <c r="AO134" s="723"/>
      <c r="AP134" s="723"/>
      <c r="AQ134" s="723"/>
      <c r="AR134" s="723">
        <f t="shared" si="28"/>
        <v>802.0321576338398</v>
      </c>
      <c r="AS134" s="723"/>
      <c r="AT134" s="723"/>
      <c r="AU134" s="723"/>
      <c r="AV134" s="723"/>
      <c r="AW134" s="723"/>
      <c r="AX134" s="723"/>
      <c r="AY134" s="723"/>
      <c r="AZ134" s="723"/>
      <c r="BA134" s="723">
        <f t="shared" si="11"/>
        <v>22.7782710490535</v>
      </c>
      <c r="BB134" s="723"/>
      <c r="BC134" s="723"/>
      <c r="BD134" s="723"/>
      <c r="BE134" s="723"/>
      <c r="BF134" s="723"/>
      <c r="BG134" s="723"/>
      <c r="BH134" s="723"/>
      <c r="BI134" s="723"/>
      <c r="BJ134" s="723">
        <f t="shared" si="2"/>
        <v>-125.98790732979205</v>
      </c>
      <c r="BK134" s="723"/>
      <c r="BL134" s="723"/>
      <c r="BM134" s="723"/>
      <c r="BN134" s="723"/>
      <c r="BO134" s="723"/>
      <c r="BP134" s="723"/>
      <c r="BQ134" s="723"/>
      <c r="BR134" s="723">
        <f t="shared" si="29"/>
        <v>2944.8796937494535</v>
      </c>
      <c r="BS134" s="723"/>
      <c r="BT134" s="723"/>
      <c r="BU134" s="723"/>
      <c r="BV134" s="723"/>
      <c r="BW134" s="723"/>
      <c r="BX134" s="723"/>
      <c r="BY134" s="723"/>
      <c r="BZ134" s="723"/>
      <c r="CA134" s="723"/>
      <c r="CB134" s="8"/>
      <c r="CC134" s="285">
        <f t="shared" si="3"/>
        <v>1111.7980240620275</v>
      </c>
      <c r="CD134" s="285">
        <f t="shared" si="12"/>
        <v>-125.98790732979205</v>
      </c>
      <c r="CF134" s="285">
        <f t="shared" si="13"/>
        <v>2019.963136</v>
      </c>
      <c r="CG134" s="285">
        <f t="shared" si="14"/>
        <v>947.6948287985066</v>
      </c>
      <c r="CH134" s="285">
        <f t="shared" si="30"/>
        <v>2967.657964798507</v>
      </c>
      <c r="CI134" s="285">
        <f t="shared" si="31"/>
        <v>819.5454979439018</v>
      </c>
      <c r="CJ134" s="285"/>
      <c r="CK134" s="285">
        <f t="shared" si="15"/>
        <v>225.101762</v>
      </c>
      <c r="CL134" s="285"/>
      <c r="CM134" s="286">
        <f t="shared" si="16"/>
        <v>193.00747764479996</v>
      </c>
      <c r="CN134" s="311">
        <f t="shared" si="17"/>
        <v>330.0008778851942</v>
      </c>
      <c r="CP134" s="285">
        <f t="shared" si="18"/>
        <v>523.0083555299941</v>
      </c>
      <c r="CQ134" s="285">
        <f t="shared" si="32"/>
        <v>819.5454979439018</v>
      </c>
      <c r="CS134" s="285">
        <f t="shared" si="33"/>
        <v>1.012</v>
      </c>
      <c r="CT134" s="286">
        <f t="shared" si="19"/>
        <v>829.3800439192286</v>
      </c>
      <c r="CU134" s="311"/>
      <c r="CV134" s="312">
        <f t="shared" si="20"/>
        <v>529.284455796354</v>
      </c>
      <c r="CW134" s="311">
        <f t="shared" si="21"/>
        <v>1358.6644997155827</v>
      </c>
      <c r="CY134" s="285">
        <f t="shared" si="22"/>
        <v>806.9613074490843</v>
      </c>
      <c r="CZ134" s="285">
        <f t="shared" si="4"/>
        <v>2719.7779317494533</v>
      </c>
      <c r="DA134" s="285">
        <f t="shared" si="23"/>
        <v>806.9613074490843</v>
      </c>
      <c r="DB134" s="3">
        <f t="shared" si="5"/>
        <v>1912.8166243003689</v>
      </c>
      <c r="DC134" s="3">
        <f t="shared" si="6"/>
        <v>1912.8166243003689</v>
      </c>
      <c r="DD134" s="3">
        <v>5</v>
      </c>
      <c r="DE134" s="285">
        <f t="shared" si="34"/>
        <v>424.37253891964275</v>
      </c>
      <c r="DF134" s="285">
        <f t="shared" si="34"/>
        <v>674.242109362993</v>
      </c>
      <c r="DH134" s="286">
        <f t="shared" si="7"/>
        <v>429.46500938667845</v>
      </c>
      <c r="DI134" s="286">
        <f t="shared" si="8"/>
        <v>682.333014675349</v>
      </c>
      <c r="DK134" s="286">
        <f t="shared" si="24"/>
        <v>1111.7980240620275</v>
      </c>
      <c r="DL134" s="3">
        <f t="shared" si="25"/>
        <v>0</v>
      </c>
    </row>
    <row r="135" spans="1:116" ht="15" customHeight="1">
      <c r="A135" s="3">
        <f t="shared" si="26"/>
        <v>1</v>
      </c>
      <c r="B135" s="689">
        <v>6</v>
      </c>
      <c r="C135" s="689"/>
      <c r="D135" s="726">
        <f t="shared" si="9"/>
        <v>3136.2404943984325</v>
      </c>
      <c r="E135" s="726"/>
      <c r="F135" s="726"/>
      <c r="G135" s="726"/>
      <c r="H135" s="726"/>
      <c r="I135" s="726"/>
      <c r="J135" s="726"/>
      <c r="K135" s="726"/>
      <c r="L135" s="726"/>
      <c r="M135" s="726">
        <f t="shared" si="10"/>
        <v>1912.8166243003689</v>
      </c>
      <c r="N135" s="726"/>
      <c r="O135" s="726"/>
      <c r="P135" s="726"/>
      <c r="Q135" s="726"/>
      <c r="R135" s="726"/>
      <c r="S135" s="726"/>
      <c r="T135" s="726"/>
      <c r="U135" s="726"/>
      <c r="V135" s="726"/>
      <c r="W135" s="723">
        <f t="shared" si="27"/>
        <v>231.85481486</v>
      </c>
      <c r="X135" s="723"/>
      <c r="Y135" s="723"/>
      <c r="Z135" s="723"/>
      <c r="AA135" s="723"/>
      <c r="AB135" s="723"/>
      <c r="AC135" s="723"/>
      <c r="AD135" s="723"/>
      <c r="AE135" s="723"/>
      <c r="AF135" s="723"/>
      <c r="AG135" s="723"/>
      <c r="AH135" s="723">
        <f t="shared" si="1"/>
        <v>1425.7277371332793</v>
      </c>
      <c r="AI135" s="723"/>
      <c r="AJ135" s="723"/>
      <c r="AK135" s="723"/>
      <c r="AL135" s="723"/>
      <c r="AM135" s="723"/>
      <c r="AN135" s="723"/>
      <c r="AO135" s="723"/>
      <c r="AP135" s="723"/>
      <c r="AQ135" s="723"/>
      <c r="AR135" s="723">
        <f t="shared" si="28"/>
        <v>802.0321576338398</v>
      </c>
      <c r="AS135" s="723"/>
      <c r="AT135" s="723"/>
      <c r="AU135" s="723"/>
      <c r="AV135" s="723"/>
      <c r="AW135" s="723"/>
      <c r="AX135" s="723"/>
      <c r="AY135" s="723"/>
      <c r="AZ135" s="723"/>
      <c r="BA135" s="723">
        <f t="shared" si="11"/>
        <v>83.08845560675013</v>
      </c>
      <c r="BB135" s="723"/>
      <c r="BC135" s="723"/>
      <c r="BD135" s="723"/>
      <c r="BE135" s="723"/>
      <c r="BF135" s="723"/>
      <c r="BG135" s="723"/>
      <c r="BH135" s="723"/>
      <c r="BI135" s="723"/>
      <c r="BJ135" s="723">
        <f t="shared" si="2"/>
        <v>-42.89945172304192</v>
      </c>
      <c r="BK135" s="723"/>
      <c r="BL135" s="723"/>
      <c r="BM135" s="723"/>
      <c r="BN135" s="723"/>
      <c r="BO135" s="723"/>
      <c r="BP135" s="723"/>
      <c r="BQ135" s="723"/>
      <c r="BR135" s="723">
        <f t="shared" si="29"/>
        <v>3053.1520387916826</v>
      </c>
      <c r="BS135" s="723"/>
      <c r="BT135" s="723"/>
      <c r="BU135" s="723"/>
      <c r="BV135" s="723"/>
      <c r="BW135" s="723"/>
      <c r="BX135" s="723"/>
      <c r="BY135" s="723"/>
      <c r="BZ135" s="723"/>
      <c r="CA135" s="723"/>
      <c r="CB135" s="8"/>
      <c r="CC135" s="285">
        <f t="shared" si="3"/>
        <v>1109.600794765462</v>
      </c>
      <c r="CD135" s="285">
        <f t="shared" si="12"/>
        <v>-42.89945172304192</v>
      </c>
      <c r="CF135" s="285">
        <f t="shared" si="13"/>
        <v>2141.1609241600004</v>
      </c>
      <c r="CG135" s="285">
        <f t="shared" si="14"/>
        <v>995.079570238432</v>
      </c>
      <c r="CH135" s="285">
        <f t="shared" si="30"/>
        <v>3136.2404943984325</v>
      </c>
      <c r="CI135" s="285">
        <f t="shared" si="31"/>
        <v>860.5227728410969</v>
      </c>
      <c r="CJ135" s="285"/>
      <c r="CK135" s="285">
        <f t="shared" si="15"/>
        <v>231.85481486</v>
      </c>
      <c r="CL135" s="285"/>
      <c r="CM135" s="286">
        <f t="shared" si="16"/>
        <v>204.58792630348796</v>
      </c>
      <c r="CN135" s="311">
        <f t="shared" si="17"/>
        <v>346.5009217794539</v>
      </c>
      <c r="CP135" s="285">
        <f t="shared" si="18"/>
        <v>551.0888480829419</v>
      </c>
      <c r="CQ135" s="285">
        <f t="shared" si="32"/>
        <v>860.5227728410969</v>
      </c>
      <c r="CS135" s="285">
        <f t="shared" si="33"/>
        <v>1.01</v>
      </c>
      <c r="CT135" s="286">
        <f t="shared" si="19"/>
        <v>869.1280005695079</v>
      </c>
      <c r="CU135" s="311"/>
      <c r="CV135" s="312">
        <f t="shared" si="20"/>
        <v>556.5997365637713</v>
      </c>
      <c r="CW135" s="311">
        <f t="shared" si="21"/>
        <v>1425.7277371332793</v>
      </c>
      <c r="CY135" s="285">
        <f t="shared" si="22"/>
        <v>908.4805996313133</v>
      </c>
      <c r="CZ135" s="285">
        <f t="shared" si="4"/>
        <v>2821.2972239316823</v>
      </c>
      <c r="DA135" s="285">
        <f t="shared" si="23"/>
        <v>908.4805996313133</v>
      </c>
      <c r="DB135" s="3">
        <f t="shared" si="5"/>
        <v>1912.8166243003689</v>
      </c>
      <c r="DC135" s="3">
        <f t="shared" si="6"/>
        <v>1912.8166243003689</v>
      </c>
      <c r="DD135" s="3">
        <v>6</v>
      </c>
      <c r="DE135" s="285">
        <f t="shared" si="34"/>
        <v>424.37253891964275</v>
      </c>
      <c r="DF135" s="285">
        <f t="shared" si="34"/>
        <v>674.242109362993</v>
      </c>
      <c r="DH135" s="286">
        <f t="shared" si="7"/>
        <v>428.61626430883916</v>
      </c>
      <c r="DI135" s="286">
        <f t="shared" si="8"/>
        <v>680.9845304566229</v>
      </c>
      <c r="DK135" s="286">
        <f t="shared" si="24"/>
        <v>1109.600794765462</v>
      </c>
      <c r="DL135" s="3">
        <f t="shared" si="25"/>
        <v>0</v>
      </c>
    </row>
    <row r="136" spans="1:116" ht="15" customHeight="1">
      <c r="A136" s="3">
        <f t="shared" si="26"/>
        <v>1</v>
      </c>
      <c r="B136" s="689">
        <v>7</v>
      </c>
      <c r="C136" s="689"/>
      <c r="D136" s="726">
        <f t="shared" si="9"/>
        <v>3314.464128359954</v>
      </c>
      <c r="E136" s="726"/>
      <c r="F136" s="726"/>
      <c r="G136" s="726"/>
      <c r="H136" s="726"/>
      <c r="I136" s="726"/>
      <c r="J136" s="726"/>
      <c r="K136" s="726"/>
      <c r="L136" s="726"/>
      <c r="M136" s="726">
        <f t="shared" si="10"/>
        <v>1912.8166243003689</v>
      </c>
      <c r="N136" s="726"/>
      <c r="O136" s="726"/>
      <c r="P136" s="726"/>
      <c r="Q136" s="726"/>
      <c r="R136" s="726"/>
      <c r="S136" s="726"/>
      <c r="T136" s="726"/>
      <c r="U136" s="726"/>
      <c r="V136" s="726"/>
      <c r="W136" s="723">
        <f t="shared" si="27"/>
        <v>238.8104593058</v>
      </c>
      <c r="X136" s="723"/>
      <c r="Y136" s="723"/>
      <c r="Z136" s="723"/>
      <c r="AA136" s="723"/>
      <c r="AB136" s="723"/>
      <c r="AC136" s="723"/>
      <c r="AD136" s="723"/>
      <c r="AE136" s="723"/>
      <c r="AF136" s="723"/>
      <c r="AG136" s="723"/>
      <c r="AH136" s="723">
        <f t="shared" si="1"/>
        <v>1496.111985883142</v>
      </c>
      <c r="AI136" s="723"/>
      <c r="AJ136" s="723"/>
      <c r="AK136" s="723"/>
      <c r="AL136" s="723"/>
      <c r="AM136" s="723"/>
      <c r="AN136" s="723"/>
      <c r="AO136" s="723"/>
      <c r="AP136" s="723"/>
      <c r="AQ136" s="723"/>
      <c r="AR136" s="723">
        <f t="shared" si="28"/>
        <v>802.0321576338398</v>
      </c>
      <c r="AS136" s="723"/>
      <c r="AT136" s="723"/>
      <c r="AU136" s="723"/>
      <c r="AV136" s="723"/>
      <c r="AW136" s="723"/>
      <c r="AX136" s="723"/>
      <c r="AY136" s="723"/>
      <c r="AZ136" s="723"/>
      <c r="BA136" s="723">
        <f t="shared" si="11"/>
        <v>146.5170599108128</v>
      </c>
      <c r="BB136" s="723"/>
      <c r="BC136" s="723"/>
      <c r="BD136" s="723"/>
      <c r="BE136" s="723"/>
      <c r="BF136" s="723"/>
      <c r="BG136" s="723"/>
      <c r="BH136" s="723"/>
      <c r="BI136" s="723"/>
      <c r="BJ136" s="723">
        <f t="shared" si="2"/>
        <v>103.61760818777088</v>
      </c>
      <c r="BK136" s="723"/>
      <c r="BL136" s="723"/>
      <c r="BM136" s="723"/>
      <c r="BN136" s="723"/>
      <c r="BO136" s="723"/>
      <c r="BP136" s="723"/>
      <c r="BQ136" s="723"/>
      <c r="BR136" s="723">
        <f t="shared" si="29"/>
        <v>3167.947068449141</v>
      </c>
      <c r="BS136" s="723"/>
      <c r="BT136" s="723"/>
      <c r="BU136" s="723"/>
      <c r="BV136" s="723"/>
      <c r="BW136" s="723"/>
      <c r="BX136" s="723"/>
      <c r="BY136" s="723"/>
      <c r="BZ136" s="723"/>
      <c r="CA136" s="723"/>
      <c r="CB136" s="8"/>
      <c r="CC136" s="285">
        <f t="shared" si="3"/>
        <v>1107.4035654688969</v>
      </c>
      <c r="CD136" s="285">
        <f t="shared" si="12"/>
        <v>103.61760818777088</v>
      </c>
      <c r="CF136" s="285">
        <f t="shared" si="13"/>
        <v>2269.6305796096003</v>
      </c>
      <c r="CG136" s="285">
        <f t="shared" si="14"/>
        <v>1044.8335487503537</v>
      </c>
      <c r="CH136" s="285">
        <f t="shared" si="30"/>
        <v>3314.464128359954</v>
      </c>
      <c r="CI136" s="285">
        <f t="shared" si="31"/>
        <v>903.5489114831518</v>
      </c>
      <c r="CJ136" s="285"/>
      <c r="CK136" s="285">
        <f t="shared" si="15"/>
        <v>238.8104593058</v>
      </c>
      <c r="CL136" s="285"/>
      <c r="CM136" s="286">
        <f t="shared" si="16"/>
        <v>216.86320188169725</v>
      </c>
      <c r="CN136" s="311">
        <f t="shared" si="17"/>
        <v>363.82596786842663</v>
      </c>
      <c r="CP136" s="285">
        <f t="shared" si="18"/>
        <v>580.6891697501239</v>
      </c>
      <c r="CQ136" s="285">
        <f t="shared" si="32"/>
        <v>903.5489114831518</v>
      </c>
      <c r="CS136" s="285">
        <f t="shared" si="33"/>
        <v>1.008</v>
      </c>
      <c r="CT136" s="286">
        <f t="shared" si="19"/>
        <v>910.777302775017</v>
      </c>
      <c r="CU136" s="311"/>
      <c r="CV136" s="312">
        <f t="shared" si="20"/>
        <v>585.334683108125</v>
      </c>
      <c r="CW136" s="311">
        <f t="shared" si="21"/>
        <v>1496.111985883142</v>
      </c>
      <c r="CY136" s="285">
        <f t="shared" si="22"/>
        <v>1016.3199848429721</v>
      </c>
      <c r="CZ136" s="285">
        <f t="shared" si="4"/>
        <v>2929.136609143341</v>
      </c>
      <c r="DA136" s="285">
        <f t="shared" si="23"/>
        <v>1016.3199848429721</v>
      </c>
      <c r="DB136" s="3">
        <f t="shared" si="5"/>
        <v>1912.8166243003689</v>
      </c>
      <c r="DC136" s="3">
        <f t="shared" si="6"/>
        <v>1912.8166243003689</v>
      </c>
      <c r="DD136" s="3">
        <v>7</v>
      </c>
      <c r="DE136" s="285">
        <f t="shared" si="34"/>
        <v>424.37253891964275</v>
      </c>
      <c r="DF136" s="285">
        <f t="shared" si="34"/>
        <v>674.242109362993</v>
      </c>
      <c r="DH136" s="286">
        <f t="shared" si="7"/>
        <v>427.7675192309999</v>
      </c>
      <c r="DI136" s="286">
        <f t="shared" si="8"/>
        <v>679.636046237897</v>
      </c>
      <c r="DK136" s="286">
        <f t="shared" si="24"/>
        <v>1107.4035654688969</v>
      </c>
      <c r="DL136" s="3">
        <f t="shared" si="25"/>
        <v>0</v>
      </c>
    </row>
    <row r="137" spans="1:116" ht="15" customHeight="1">
      <c r="A137" s="3">
        <f t="shared" si="26"/>
        <v>1</v>
      </c>
      <c r="B137" s="689">
        <v>8</v>
      </c>
      <c r="C137" s="689"/>
      <c r="D137" s="726">
        <f t="shared" si="9"/>
        <v>3502.8836405740476</v>
      </c>
      <c r="E137" s="726"/>
      <c r="F137" s="726"/>
      <c r="G137" s="726"/>
      <c r="H137" s="726"/>
      <c r="I137" s="726"/>
      <c r="J137" s="726"/>
      <c r="K137" s="726"/>
      <c r="L137" s="726"/>
      <c r="M137" s="726">
        <f t="shared" si="10"/>
        <v>1912.8166243003689</v>
      </c>
      <c r="N137" s="726"/>
      <c r="O137" s="726"/>
      <c r="P137" s="726"/>
      <c r="Q137" s="726"/>
      <c r="R137" s="726"/>
      <c r="S137" s="726"/>
      <c r="T137" s="726"/>
      <c r="U137" s="726"/>
      <c r="V137" s="726"/>
      <c r="W137" s="723">
        <f t="shared" si="27"/>
        <v>245.974773084974</v>
      </c>
      <c r="X137" s="723"/>
      <c r="Y137" s="723"/>
      <c r="Z137" s="723"/>
      <c r="AA137" s="723"/>
      <c r="AB137" s="723"/>
      <c r="AC137" s="723"/>
      <c r="AD137" s="723"/>
      <c r="AE137" s="723"/>
      <c r="AF137" s="723"/>
      <c r="AG137" s="723"/>
      <c r="AH137" s="723">
        <f t="shared" si="1"/>
        <v>1569.9823290176391</v>
      </c>
      <c r="AI137" s="723"/>
      <c r="AJ137" s="723"/>
      <c r="AK137" s="723"/>
      <c r="AL137" s="723"/>
      <c r="AM137" s="723"/>
      <c r="AN137" s="723"/>
      <c r="AO137" s="723"/>
      <c r="AP137" s="723"/>
      <c r="AQ137" s="723"/>
      <c r="AR137" s="723">
        <f t="shared" si="28"/>
        <v>802.0321576338398</v>
      </c>
      <c r="AS137" s="723"/>
      <c r="AT137" s="723"/>
      <c r="AU137" s="723"/>
      <c r="AV137" s="723"/>
      <c r="AW137" s="723"/>
      <c r="AX137" s="723"/>
      <c r="AY137" s="723"/>
      <c r="AZ137" s="723"/>
      <c r="BA137" s="723">
        <f t="shared" si="11"/>
        <v>213.22308926613596</v>
      </c>
      <c r="BB137" s="723"/>
      <c r="BC137" s="723"/>
      <c r="BD137" s="723"/>
      <c r="BE137" s="723"/>
      <c r="BF137" s="723"/>
      <c r="BG137" s="723"/>
      <c r="BH137" s="723"/>
      <c r="BI137" s="723"/>
      <c r="BJ137" s="723">
        <f t="shared" si="2"/>
        <v>316.84069745390684</v>
      </c>
      <c r="BK137" s="723"/>
      <c r="BL137" s="723"/>
      <c r="BM137" s="723"/>
      <c r="BN137" s="723"/>
      <c r="BO137" s="723"/>
      <c r="BP137" s="723"/>
      <c r="BQ137" s="723"/>
      <c r="BR137" s="723">
        <f t="shared" si="29"/>
        <v>3289.6605513079116</v>
      </c>
      <c r="BS137" s="723"/>
      <c r="BT137" s="723"/>
      <c r="BU137" s="723"/>
      <c r="BV137" s="723"/>
      <c r="BW137" s="723"/>
      <c r="BX137" s="723"/>
      <c r="BY137" s="723"/>
      <c r="BZ137" s="723"/>
      <c r="CA137" s="723"/>
      <c r="CB137" s="8"/>
      <c r="CC137" s="285">
        <f t="shared" si="3"/>
        <v>1105.2063361723317</v>
      </c>
      <c r="CD137" s="285">
        <f t="shared" si="12"/>
        <v>316.84069745390684</v>
      </c>
      <c r="CF137" s="285">
        <f t="shared" si="13"/>
        <v>2405.8084143861765</v>
      </c>
      <c r="CG137" s="285">
        <f t="shared" si="14"/>
        <v>1097.0752261878713</v>
      </c>
      <c r="CH137" s="285">
        <f t="shared" si="30"/>
        <v>3502.8836405740476</v>
      </c>
      <c r="CI137" s="285">
        <f t="shared" si="31"/>
        <v>948.7263570573094</v>
      </c>
      <c r="CJ137" s="285"/>
      <c r="CK137" s="285">
        <f t="shared" si="15"/>
        <v>245.974773084974</v>
      </c>
      <c r="CL137" s="285"/>
      <c r="CM137" s="286">
        <f t="shared" si="16"/>
        <v>229.8749939945991</v>
      </c>
      <c r="CN137" s="311">
        <f t="shared" si="17"/>
        <v>382.01726626184796</v>
      </c>
      <c r="CP137" s="285">
        <f t="shared" si="18"/>
        <v>611.8922602564471</v>
      </c>
      <c r="CQ137" s="285">
        <f t="shared" si="32"/>
        <v>948.7263570573094</v>
      </c>
      <c r="CS137" s="285">
        <f t="shared" si="33"/>
        <v>1.006</v>
      </c>
      <c r="CT137" s="286">
        <f t="shared" si="19"/>
        <v>954.4187151996533</v>
      </c>
      <c r="CU137" s="311"/>
      <c r="CV137" s="312">
        <f t="shared" si="20"/>
        <v>615.5636138179858</v>
      </c>
      <c r="CW137" s="311">
        <f t="shared" si="21"/>
        <v>1569.9823290176391</v>
      </c>
      <c r="CY137" s="285">
        <f t="shared" si="22"/>
        <v>1130.8691539225688</v>
      </c>
      <c r="CZ137" s="285">
        <f t="shared" si="4"/>
        <v>3043.6857782229376</v>
      </c>
      <c r="DA137" s="285">
        <f t="shared" si="23"/>
        <v>1130.8691539225688</v>
      </c>
      <c r="DB137" s="3">
        <f t="shared" si="5"/>
        <v>1912.8166243003689</v>
      </c>
      <c r="DC137" s="3">
        <f t="shared" si="6"/>
        <v>1912.8166243003689</v>
      </c>
      <c r="DD137" s="3">
        <v>8</v>
      </c>
      <c r="DE137" s="285">
        <f t="shared" si="34"/>
        <v>424.37253891964275</v>
      </c>
      <c r="DF137" s="285">
        <f t="shared" si="34"/>
        <v>674.242109362993</v>
      </c>
      <c r="DH137" s="286">
        <f t="shared" si="7"/>
        <v>426.9187741531606</v>
      </c>
      <c r="DI137" s="286">
        <f t="shared" si="8"/>
        <v>678.287562019171</v>
      </c>
      <c r="DK137" s="286">
        <f t="shared" si="24"/>
        <v>1105.2063361723317</v>
      </c>
      <c r="DL137" s="3">
        <f t="shared" si="25"/>
        <v>0</v>
      </c>
    </row>
    <row r="138" spans="1:116" ht="15" customHeight="1">
      <c r="A138" s="3">
        <f t="shared" si="26"/>
        <v>1</v>
      </c>
      <c r="B138" s="689">
        <v>9</v>
      </c>
      <c r="C138" s="689"/>
      <c r="D138" s="726">
        <f t="shared" si="9"/>
        <v>3702.0859067466117</v>
      </c>
      <c r="E138" s="726"/>
      <c r="F138" s="726"/>
      <c r="G138" s="726"/>
      <c r="H138" s="726"/>
      <c r="I138" s="726"/>
      <c r="J138" s="726"/>
      <c r="K138" s="726"/>
      <c r="L138" s="726"/>
      <c r="M138" s="726">
        <f t="shared" si="10"/>
        <v>1912.8166243003689</v>
      </c>
      <c r="N138" s="726"/>
      <c r="O138" s="726"/>
      <c r="P138" s="726"/>
      <c r="Q138" s="726"/>
      <c r="R138" s="726"/>
      <c r="S138" s="726"/>
      <c r="T138" s="726"/>
      <c r="U138" s="726"/>
      <c r="V138" s="726"/>
      <c r="W138" s="723">
        <f t="shared" si="27"/>
        <v>253.35401627752324</v>
      </c>
      <c r="X138" s="723"/>
      <c r="Y138" s="723"/>
      <c r="Z138" s="723"/>
      <c r="AA138" s="723"/>
      <c r="AB138" s="723"/>
      <c r="AC138" s="723"/>
      <c r="AD138" s="723"/>
      <c r="AE138" s="723"/>
      <c r="AF138" s="723"/>
      <c r="AG138" s="723"/>
      <c r="AH138" s="723">
        <f t="shared" si="1"/>
        <v>1647.5120913118678</v>
      </c>
      <c r="AI138" s="723"/>
      <c r="AJ138" s="723"/>
      <c r="AK138" s="723"/>
      <c r="AL138" s="723"/>
      <c r="AM138" s="723"/>
      <c r="AN138" s="723"/>
      <c r="AO138" s="723"/>
      <c r="AP138" s="723"/>
      <c r="AQ138" s="723"/>
      <c r="AR138" s="723">
        <f t="shared" si="28"/>
        <v>802.0321576338398</v>
      </c>
      <c r="AS138" s="723"/>
      <c r="AT138" s="723"/>
      <c r="AU138" s="723"/>
      <c r="AV138" s="723"/>
      <c r="AW138" s="723"/>
      <c r="AX138" s="723"/>
      <c r="AY138" s="723"/>
      <c r="AZ138" s="723"/>
      <c r="BA138" s="723">
        <f t="shared" si="11"/>
        <v>283.37360836781545</v>
      </c>
      <c r="BB138" s="723"/>
      <c r="BC138" s="723"/>
      <c r="BD138" s="723"/>
      <c r="BE138" s="723"/>
      <c r="BF138" s="723"/>
      <c r="BG138" s="723"/>
      <c r="BH138" s="723"/>
      <c r="BI138" s="723"/>
      <c r="BJ138" s="723">
        <f t="shared" si="2"/>
        <v>600.2143058217223</v>
      </c>
      <c r="BK138" s="723"/>
      <c r="BL138" s="723"/>
      <c r="BM138" s="723"/>
      <c r="BN138" s="723"/>
      <c r="BO138" s="723"/>
      <c r="BP138" s="723"/>
      <c r="BQ138" s="723"/>
      <c r="BR138" s="723">
        <f t="shared" si="29"/>
        <v>3418.7122983787963</v>
      </c>
      <c r="BS138" s="723"/>
      <c r="BT138" s="723"/>
      <c r="BU138" s="723"/>
      <c r="BV138" s="723"/>
      <c r="BW138" s="723"/>
      <c r="BX138" s="723"/>
      <c r="BY138" s="723"/>
      <c r="BZ138" s="723"/>
      <c r="CA138" s="723"/>
      <c r="CB138" s="8"/>
      <c r="CC138" s="285">
        <f t="shared" si="3"/>
        <v>1103.0091068757663</v>
      </c>
      <c r="CD138" s="285">
        <f t="shared" si="12"/>
        <v>600.2143058217223</v>
      </c>
      <c r="CF138" s="285">
        <f t="shared" si="13"/>
        <v>2550.156919249347</v>
      </c>
      <c r="CG138" s="285">
        <f t="shared" si="14"/>
        <v>1151.9289874972649</v>
      </c>
      <c r="CH138" s="285">
        <f t="shared" si="30"/>
        <v>3702.0859067466117</v>
      </c>
      <c r="CI138" s="285">
        <f t="shared" si="31"/>
        <v>996.1626749101749</v>
      </c>
      <c r="CJ138" s="285"/>
      <c r="CK138" s="285">
        <f t="shared" si="15"/>
        <v>253.35401627752324</v>
      </c>
      <c r="CL138" s="285"/>
      <c r="CM138" s="286">
        <f t="shared" si="16"/>
        <v>243.66749363427505</v>
      </c>
      <c r="CN138" s="311">
        <f t="shared" si="17"/>
        <v>401.1181295749404</v>
      </c>
      <c r="CP138" s="285">
        <f t="shared" si="18"/>
        <v>644.7856232092154</v>
      </c>
      <c r="CQ138" s="285">
        <f t="shared" si="32"/>
        <v>996.1626749101749</v>
      </c>
      <c r="CS138" s="285">
        <f t="shared" si="33"/>
        <v>1.004</v>
      </c>
      <c r="CT138" s="286">
        <f t="shared" si="19"/>
        <v>1000.1473256098157</v>
      </c>
      <c r="CU138" s="311"/>
      <c r="CV138" s="312">
        <f t="shared" si="20"/>
        <v>647.3647657020522</v>
      </c>
      <c r="CW138" s="311">
        <f t="shared" si="21"/>
        <v>1647.5120913118678</v>
      </c>
      <c r="CY138" s="285">
        <f t="shared" si="22"/>
        <v>1252.541657800904</v>
      </c>
      <c r="CZ138" s="285">
        <f t="shared" si="4"/>
        <v>3165.358282101273</v>
      </c>
      <c r="DA138" s="285">
        <f t="shared" si="23"/>
        <v>1252.541657800904</v>
      </c>
      <c r="DB138" s="3">
        <f t="shared" si="5"/>
        <v>1912.8166243003689</v>
      </c>
      <c r="DC138" s="3">
        <f t="shared" si="6"/>
        <v>1912.8166243003689</v>
      </c>
      <c r="DD138" s="3">
        <v>9</v>
      </c>
      <c r="DE138" s="285">
        <f t="shared" si="34"/>
        <v>424.37253891964275</v>
      </c>
      <c r="DF138" s="285">
        <f t="shared" si="34"/>
        <v>674.242109362993</v>
      </c>
      <c r="DH138" s="286">
        <f t="shared" si="7"/>
        <v>426.0700290753213</v>
      </c>
      <c r="DI138" s="286">
        <f t="shared" si="8"/>
        <v>676.939077800445</v>
      </c>
      <c r="DK138" s="286">
        <f t="shared" si="24"/>
        <v>1103.0091068757663</v>
      </c>
      <c r="DL138" s="3">
        <f t="shared" si="25"/>
        <v>0</v>
      </c>
    </row>
    <row r="139" spans="1:116" ht="15" customHeight="1">
      <c r="A139" s="3">
        <f t="shared" si="26"/>
        <v>1</v>
      </c>
      <c r="B139" s="689">
        <v>10</v>
      </c>
      <c r="C139" s="689"/>
      <c r="D139" s="726">
        <f t="shared" si="9"/>
        <v>3912.691771276436</v>
      </c>
      <c r="E139" s="726"/>
      <c r="F139" s="726"/>
      <c r="G139" s="726"/>
      <c r="H139" s="726"/>
      <c r="I139" s="726"/>
      <c r="J139" s="726"/>
      <c r="K139" s="726"/>
      <c r="L139" s="726"/>
      <c r="M139" s="726">
        <f t="shared" si="10"/>
        <v>1912.8166243003689</v>
      </c>
      <c r="N139" s="726"/>
      <c r="O139" s="726"/>
      <c r="P139" s="726"/>
      <c r="Q139" s="726"/>
      <c r="R139" s="726"/>
      <c r="S139" s="726"/>
      <c r="T139" s="726"/>
      <c r="U139" s="726"/>
      <c r="V139" s="726"/>
      <c r="W139" s="723">
        <f t="shared" si="27"/>
        <v>260.95463676584893</v>
      </c>
      <c r="X139" s="723"/>
      <c r="Y139" s="723"/>
      <c r="Z139" s="723"/>
      <c r="AA139" s="723"/>
      <c r="AB139" s="723"/>
      <c r="AC139" s="723"/>
      <c r="AD139" s="723"/>
      <c r="AE139" s="723"/>
      <c r="AF139" s="723"/>
      <c r="AG139" s="723"/>
      <c r="AH139" s="723">
        <f t="shared" si="1"/>
        <v>1728.8832527376262</v>
      </c>
      <c r="AI139" s="723"/>
      <c r="AJ139" s="723"/>
      <c r="AK139" s="723"/>
      <c r="AL139" s="723"/>
      <c r="AM139" s="723"/>
      <c r="AN139" s="723"/>
      <c r="AO139" s="723"/>
      <c r="AP139" s="723"/>
      <c r="AQ139" s="723"/>
      <c r="AR139" s="723">
        <f t="shared" si="28"/>
        <v>802.0321576338398</v>
      </c>
      <c r="AS139" s="723"/>
      <c r="AT139" s="723"/>
      <c r="AU139" s="723"/>
      <c r="AV139" s="723"/>
      <c r="AW139" s="723"/>
      <c r="AX139" s="723"/>
      <c r="AY139" s="723"/>
      <c r="AZ139" s="723"/>
      <c r="BA139" s="723">
        <f t="shared" si="11"/>
        <v>357.144149305248</v>
      </c>
      <c r="BB139" s="723"/>
      <c r="BC139" s="723"/>
      <c r="BD139" s="723"/>
      <c r="BE139" s="723"/>
      <c r="BF139" s="723"/>
      <c r="BG139" s="723"/>
      <c r="BH139" s="723"/>
      <c r="BI139" s="723"/>
      <c r="BJ139" s="723">
        <f t="shared" si="2"/>
        <v>957.3584551269703</v>
      </c>
      <c r="BK139" s="723"/>
      <c r="BL139" s="723"/>
      <c r="BM139" s="723"/>
      <c r="BN139" s="723"/>
      <c r="BO139" s="723"/>
      <c r="BP139" s="723"/>
      <c r="BQ139" s="723"/>
      <c r="BR139" s="723">
        <f t="shared" si="29"/>
        <v>3555.547621971188</v>
      </c>
      <c r="BS139" s="723"/>
      <c r="BT139" s="723"/>
      <c r="BU139" s="723"/>
      <c r="BV139" s="723"/>
      <c r="BW139" s="723"/>
      <c r="BX139" s="723"/>
      <c r="BY139" s="723"/>
      <c r="BZ139" s="723"/>
      <c r="CA139" s="723"/>
      <c r="CB139" s="8"/>
      <c r="CC139" s="285">
        <f t="shared" si="3"/>
        <v>1100.8118775792009</v>
      </c>
      <c r="CD139" s="285">
        <f t="shared" si="12"/>
        <v>957.3584551269703</v>
      </c>
      <c r="CF139" s="285">
        <f t="shared" si="13"/>
        <v>2703.166334404308</v>
      </c>
      <c r="CG139" s="285">
        <f t="shared" si="14"/>
        <v>1209.5254368721282</v>
      </c>
      <c r="CH139" s="285">
        <f t="shared" si="30"/>
        <v>3912.691771276436</v>
      </c>
      <c r="CI139" s="285">
        <f t="shared" si="31"/>
        <v>1045.9708086556836</v>
      </c>
      <c r="CJ139" s="285"/>
      <c r="CK139" s="285">
        <f t="shared" si="15"/>
        <v>260.95463676584893</v>
      </c>
      <c r="CL139" s="285"/>
      <c r="CM139" s="286">
        <f t="shared" si="16"/>
        <v>258.28754325233155</v>
      </c>
      <c r="CN139" s="311">
        <f t="shared" si="17"/>
        <v>421.1740360536874</v>
      </c>
      <c r="CP139" s="285">
        <f t="shared" si="18"/>
        <v>679.461579306019</v>
      </c>
      <c r="CQ139" s="285">
        <f t="shared" si="32"/>
        <v>1045.9708086556836</v>
      </c>
      <c r="CS139" s="285">
        <f t="shared" si="33"/>
        <v>1.002</v>
      </c>
      <c r="CT139" s="286">
        <f t="shared" si="19"/>
        <v>1048.0627502729951</v>
      </c>
      <c r="CU139" s="311"/>
      <c r="CV139" s="312">
        <f t="shared" si="20"/>
        <v>680.820502464631</v>
      </c>
      <c r="CW139" s="311">
        <f t="shared" si="21"/>
        <v>1728.8832527376262</v>
      </c>
      <c r="CY139" s="285">
        <f t="shared" si="22"/>
        <v>1381.7763609049703</v>
      </c>
      <c r="CZ139" s="285">
        <f t="shared" si="4"/>
        <v>3294.592985205339</v>
      </c>
      <c r="DA139" s="285">
        <f t="shared" si="23"/>
        <v>1381.7763609049703</v>
      </c>
      <c r="DB139" s="3">
        <f t="shared" si="5"/>
        <v>1912.8166243003689</v>
      </c>
      <c r="DC139" s="3">
        <f t="shared" si="6"/>
        <v>1912.8166243003689</v>
      </c>
      <c r="DD139" s="3">
        <v>10</v>
      </c>
      <c r="DE139" s="285">
        <f t="shared" si="34"/>
        <v>424.37253891964275</v>
      </c>
      <c r="DF139" s="285">
        <f t="shared" si="34"/>
        <v>674.242109362993</v>
      </c>
      <c r="DH139" s="286">
        <f t="shared" si="7"/>
        <v>425.22128399748203</v>
      </c>
      <c r="DI139" s="286">
        <f t="shared" si="8"/>
        <v>675.590593581719</v>
      </c>
      <c r="DK139" s="286">
        <f t="shared" si="24"/>
        <v>1100.8118775792009</v>
      </c>
      <c r="DL139" s="3">
        <f t="shared" si="25"/>
        <v>0</v>
      </c>
    </row>
    <row r="140" spans="1:116" ht="15" customHeight="1">
      <c r="A140" s="3">
        <f t="shared" si="26"/>
        <v>1</v>
      </c>
      <c r="B140" s="689">
        <v>11</v>
      </c>
      <c r="C140" s="689"/>
      <c r="D140" s="726">
        <f t="shared" si="9"/>
        <v>4135.358023184302</v>
      </c>
      <c r="E140" s="726"/>
      <c r="F140" s="726"/>
      <c r="G140" s="726"/>
      <c r="H140" s="726"/>
      <c r="I140" s="726"/>
      <c r="J140" s="726"/>
      <c r="K140" s="726"/>
      <c r="L140" s="726"/>
      <c r="M140" s="726">
        <f t="shared" si="10"/>
        <v>1912.8166243003689</v>
      </c>
      <c r="N140" s="726"/>
      <c r="O140" s="726"/>
      <c r="P140" s="726"/>
      <c r="Q140" s="726"/>
      <c r="R140" s="726"/>
      <c r="S140" s="726"/>
      <c r="T140" s="726"/>
      <c r="U140" s="726"/>
      <c r="V140" s="726"/>
      <c r="W140" s="723">
        <f t="shared" si="27"/>
        <v>268.78327586882443</v>
      </c>
      <c r="X140" s="723"/>
      <c r="Y140" s="723"/>
      <c r="Z140" s="723"/>
      <c r="AA140" s="723"/>
      <c r="AB140" s="723"/>
      <c r="AC140" s="723"/>
      <c r="AD140" s="723"/>
      <c r="AE140" s="723"/>
      <c r="AF140" s="723"/>
      <c r="AG140" s="723"/>
      <c r="AH140" s="723">
        <f t="shared" si="1"/>
        <v>1814.2868827923112</v>
      </c>
      <c r="AI140" s="723"/>
      <c r="AJ140" s="723"/>
      <c r="AK140" s="723"/>
      <c r="AL140" s="723"/>
      <c r="AM140" s="723"/>
      <c r="AN140" s="723"/>
      <c r="AO140" s="723"/>
      <c r="AP140" s="723"/>
      <c r="AQ140" s="723"/>
      <c r="AR140" s="723">
        <v>0</v>
      </c>
      <c r="AS140" s="723"/>
      <c r="AT140" s="723"/>
      <c r="AU140" s="723"/>
      <c r="AV140" s="723"/>
      <c r="AW140" s="723"/>
      <c r="AX140" s="723"/>
      <c r="AY140" s="723"/>
      <c r="AZ140" s="723"/>
      <c r="BA140" s="723">
        <f t="shared" si="11"/>
        <v>-367.31301737688204</v>
      </c>
      <c r="BB140" s="723"/>
      <c r="BC140" s="723"/>
      <c r="BD140" s="723"/>
      <c r="BE140" s="723"/>
      <c r="BF140" s="723"/>
      <c r="BG140" s="723"/>
      <c r="BH140" s="723"/>
      <c r="BI140" s="723"/>
      <c r="BJ140" s="723">
        <f t="shared" si="2"/>
        <v>590.0454377500882</v>
      </c>
      <c r="BK140" s="723"/>
      <c r="BL140" s="723"/>
      <c r="BM140" s="723"/>
      <c r="BN140" s="723"/>
      <c r="BO140" s="723"/>
      <c r="BP140" s="723"/>
      <c r="BQ140" s="723"/>
      <c r="BR140" s="723">
        <f t="shared" si="29"/>
        <v>4502.671040561184</v>
      </c>
      <c r="BS140" s="723"/>
      <c r="BT140" s="723"/>
      <c r="BU140" s="723"/>
      <c r="BV140" s="723"/>
      <c r="BW140" s="723"/>
      <c r="BX140" s="723"/>
      <c r="BY140" s="723"/>
      <c r="BZ140" s="723"/>
      <c r="CA140" s="723"/>
      <c r="CB140" s="8"/>
      <c r="CC140" s="285">
        <f t="shared" si="3"/>
        <v>1098.6146482826357</v>
      </c>
      <c r="CD140" s="285">
        <f t="shared" si="12"/>
        <v>590.0454377500882</v>
      </c>
      <c r="CF140" s="285">
        <f t="shared" si="13"/>
        <v>2865.356314468567</v>
      </c>
      <c r="CG140" s="285">
        <f t="shared" si="14"/>
        <v>1270.0017087157346</v>
      </c>
      <c r="CH140" s="285">
        <f t="shared" si="30"/>
        <v>4135.358023184302</v>
      </c>
      <c r="CI140" s="285">
        <f t="shared" si="31"/>
        <v>1098.2693490884678</v>
      </c>
      <c r="CK140" s="285">
        <f t="shared" si="15"/>
        <v>268.78327586882443</v>
      </c>
      <c r="CL140" s="285"/>
      <c r="CM140" s="286">
        <f t="shared" si="16"/>
        <v>273.78479584747146</v>
      </c>
      <c r="CN140" s="311">
        <f t="shared" si="17"/>
        <v>442.2327378563718</v>
      </c>
      <c r="CP140" s="285">
        <f t="shared" si="18"/>
        <v>716.0175337038432</v>
      </c>
      <c r="CQ140" s="285">
        <f t="shared" si="32"/>
        <v>1098.2693490884678</v>
      </c>
      <c r="CR140" s="285"/>
      <c r="CS140" s="285">
        <f t="shared" si="33"/>
        <v>1</v>
      </c>
      <c r="CT140" s="286">
        <f t="shared" si="19"/>
        <v>1098.2693490884678</v>
      </c>
      <c r="CU140" s="311"/>
      <c r="CV140" s="312">
        <f t="shared" si="20"/>
        <v>716.0175337038432</v>
      </c>
      <c r="CW140" s="311">
        <f t="shared" si="21"/>
        <v>1814.2868827923112</v>
      </c>
      <c r="CY140" s="285">
        <f t="shared" si="22"/>
        <v>2321.0711403919904</v>
      </c>
      <c r="CZ140" s="285">
        <f t="shared" si="4"/>
        <v>4233.887764692359</v>
      </c>
      <c r="DA140" s="285">
        <f t="shared" si="23"/>
        <v>2321.0711403919904</v>
      </c>
      <c r="DB140" s="3">
        <f t="shared" si="5"/>
        <v>1912.8166243003689</v>
      </c>
      <c r="DC140" s="3">
        <f>IF(B140&lt;=$CF$119,DB140,0)</f>
        <v>1912.8166243003689</v>
      </c>
      <c r="DD140" s="3">
        <v>11</v>
      </c>
      <c r="DE140" s="285">
        <f t="shared" si="34"/>
        <v>424.37253891964275</v>
      </c>
      <c r="DF140" s="285">
        <f t="shared" si="34"/>
        <v>674.242109362993</v>
      </c>
      <c r="DH140" s="286">
        <f t="shared" si="7"/>
        <v>424.37253891964275</v>
      </c>
      <c r="DI140" s="286">
        <f t="shared" si="8"/>
        <v>674.242109362993</v>
      </c>
      <c r="DK140" s="286">
        <f t="shared" si="24"/>
        <v>1098.6146482826357</v>
      </c>
      <c r="DL140" s="3">
        <f t="shared" si="25"/>
        <v>0</v>
      </c>
    </row>
    <row r="141" spans="1:116" ht="15" customHeight="1">
      <c r="A141" s="3">
        <f t="shared" si="26"/>
        <v>1</v>
      </c>
      <c r="B141" s="689">
        <v>12</v>
      </c>
      <c r="C141" s="689"/>
      <c r="D141" s="726">
        <f t="shared" si="9"/>
        <v>4370.779487488202</v>
      </c>
      <c r="E141" s="726"/>
      <c r="F141" s="726"/>
      <c r="G141" s="726"/>
      <c r="H141" s="726"/>
      <c r="I141" s="726"/>
      <c r="J141" s="726"/>
      <c r="K141" s="726"/>
      <c r="L141" s="726"/>
      <c r="M141" s="726">
        <f t="shared" si="10"/>
        <v>1912.8166243003689</v>
      </c>
      <c r="N141" s="726"/>
      <c r="O141" s="726"/>
      <c r="P141" s="726"/>
      <c r="Q141" s="726"/>
      <c r="R141" s="726"/>
      <c r="S141" s="726"/>
      <c r="T141" s="726"/>
      <c r="U141" s="726"/>
      <c r="V141" s="726"/>
      <c r="W141" s="723">
        <f t="shared" si="27"/>
        <v>276.8467741448892</v>
      </c>
      <c r="X141" s="723"/>
      <c r="Y141" s="723"/>
      <c r="Z141" s="723"/>
      <c r="AA141" s="723"/>
      <c r="AB141" s="723"/>
      <c r="AC141" s="723"/>
      <c r="AD141" s="723"/>
      <c r="AE141" s="723"/>
      <c r="AF141" s="723"/>
      <c r="AG141" s="723"/>
      <c r="AH141" s="723">
        <f t="shared" si="1"/>
        <v>1903.9235967406207</v>
      </c>
      <c r="AI141" s="723"/>
      <c r="AJ141" s="723"/>
      <c r="AK141" s="723"/>
      <c r="AL141" s="723"/>
      <c r="AM141" s="723"/>
      <c r="AN141" s="723"/>
      <c r="AO141" s="723"/>
      <c r="AP141" s="723"/>
      <c r="AQ141" s="723"/>
      <c r="AR141" s="723">
        <v>0</v>
      </c>
      <c r="AS141" s="723"/>
      <c r="AT141" s="723"/>
      <c r="AU141" s="723"/>
      <c r="AV141" s="723"/>
      <c r="AW141" s="723"/>
      <c r="AX141" s="723"/>
      <c r="AY141" s="723"/>
      <c r="AZ141" s="723"/>
      <c r="BA141" s="723">
        <f t="shared" si="11"/>
        <v>-285.73980170463733</v>
      </c>
      <c r="BB141" s="723"/>
      <c r="BC141" s="723"/>
      <c r="BD141" s="723"/>
      <c r="BE141" s="723"/>
      <c r="BF141" s="723"/>
      <c r="BG141" s="723"/>
      <c r="BH141" s="723"/>
      <c r="BI141" s="723"/>
      <c r="BJ141" s="723">
        <f t="shared" si="2"/>
        <v>304.3056360454509</v>
      </c>
      <c r="BK141" s="723"/>
      <c r="BL141" s="723"/>
      <c r="BM141" s="723"/>
      <c r="BN141" s="723"/>
      <c r="BO141" s="723"/>
      <c r="BP141" s="723"/>
      <c r="BQ141" s="723"/>
      <c r="BR141" s="723">
        <f t="shared" si="29"/>
        <v>4656.519289192839</v>
      </c>
      <c r="BS141" s="723"/>
      <c r="BT141" s="723"/>
      <c r="BU141" s="723"/>
      <c r="BV141" s="723"/>
      <c r="BW141" s="723"/>
      <c r="BX141" s="723"/>
      <c r="BY141" s="723"/>
      <c r="BZ141" s="723"/>
      <c r="CA141" s="723"/>
      <c r="CB141" s="8"/>
      <c r="CC141" s="285">
        <f t="shared" si="3"/>
        <v>1096.4174189860705</v>
      </c>
      <c r="CD141" s="285">
        <f t="shared" si="12"/>
        <v>304.3056360454509</v>
      </c>
      <c r="CF141" s="285">
        <f t="shared" si="13"/>
        <v>3037.277693336681</v>
      </c>
      <c r="CG141" s="285">
        <f t="shared" si="14"/>
        <v>1333.5017941515214</v>
      </c>
      <c r="CH141" s="285">
        <f t="shared" si="30"/>
        <v>4370.779487488202</v>
      </c>
      <c r="CI141" s="285">
        <f t="shared" si="31"/>
        <v>1153.1828165428913</v>
      </c>
      <c r="CK141" s="285">
        <f>CK140*CG124</f>
        <v>276.8467741448892</v>
      </c>
      <c r="CL141" s="285"/>
      <c r="CM141" s="286">
        <f t="shared" si="16"/>
        <v>290.2118835983198</v>
      </c>
      <c r="CN141" s="311">
        <f t="shared" si="17"/>
        <v>464.34437474919037</v>
      </c>
      <c r="CP141" s="285">
        <f t="shared" si="18"/>
        <v>754.5562583475102</v>
      </c>
      <c r="CQ141" s="285">
        <f t="shared" si="32"/>
        <v>1153.1828165428913</v>
      </c>
      <c r="CR141" s="285"/>
      <c r="CS141" s="285">
        <f t="shared" si="33"/>
        <v>0.998</v>
      </c>
      <c r="CT141" s="286">
        <f t="shared" si="19"/>
        <v>1150.8764509098055</v>
      </c>
      <c r="CU141" s="311"/>
      <c r="CV141" s="312">
        <f t="shared" si="20"/>
        <v>753.0471458308151</v>
      </c>
      <c r="CW141" s="311">
        <f t="shared" si="21"/>
        <v>1903.9235967406207</v>
      </c>
      <c r="CY141" s="285">
        <f t="shared" si="22"/>
        <v>2466.8558907475813</v>
      </c>
      <c r="CZ141" s="285">
        <f t="shared" si="4"/>
        <v>4379.672515047951</v>
      </c>
      <c r="DA141" s="285">
        <f t="shared" si="23"/>
        <v>2466.8558907475813</v>
      </c>
      <c r="DB141" s="3">
        <f t="shared" si="5"/>
        <v>1912.8166243003689</v>
      </c>
      <c r="DC141" s="3">
        <f t="shared" si="6"/>
        <v>1912.8166243003689</v>
      </c>
      <c r="DD141" s="3">
        <v>12</v>
      </c>
      <c r="DE141" s="285">
        <f t="shared" si="34"/>
        <v>424.37253891964275</v>
      </c>
      <c r="DF141" s="285">
        <f t="shared" si="34"/>
        <v>674.242109362993</v>
      </c>
      <c r="DH141" s="286">
        <f t="shared" si="7"/>
        <v>423.52379384180347</v>
      </c>
      <c r="DI141" s="286">
        <f t="shared" si="8"/>
        <v>672.893625144267</v>
      </c>
      <c r="DK141" s="286">
        <f t="shared" si="24"/>
        <v>1096.4174189860705</v>
      </c>
      <c r="DL141" s="3">
        <f t="shared" si="25"/>
        <v>304.3056360454509</v>
      </c>
    </row>
    <row r="142" spans="1:116" ht="15" customHeight="1">
      <c r="A142" s="3">
        <f t="shared" si="26"/>
        <v>1</v>
      </c>
      <c r="B142" s="689">
        <v>13</v>
      </c>
      <c r="C142" s="689"/>
      <c r="D142" s="726">
        <f t="shared" si="9"/>
        <v>4619.691238795979</v>
      </c>
      <c r="E142" s="726"/>
      <c r="F142" s="726"/>
      <c r="G142" s="726"/>
      <c r="H142" s="726"/>
      <c r="I142" s="726"/>
      <c r="J142" s="726"/>
      <c r="K142" s="726"/>
      <c r="L142" s="726"/>
      <c r="M142" s="726">
        <f t="shared" si="10"/>
        <v>0</v>
      </c>
      <c r="N142" s="726"/>
      <c r="O142" s="726"/>
      <c r="P142" s="726"/>
      <c r="Q142" s="726"/>
      <c r="R142" s="726"/>
      <c r="S142" s="726"/>
      <c r="T142" s="726"/>
      <c r="U142" s="726"/>
      <c r="V142" s="726"/>
      <c r="W142" s="723">
        <f t="shared" si="27"/>
        <v>1043.706742690313</v>
      </c>
      <c r="X142" s="723"/>
      <c r="Y142" s="723"/>
      <c r="Z142" s="723"/>
      <c r="AA142" s="723"/>
      <c r="AB142" s="723"/>
      <c r="AC142" s="723"/>
      <c r="AD142" s="723"/>
      <c r="AE142" s="723"/>
      <c r="AF142" s="723"/>
      <c r="AG142" s="723"/>
      <c r="AH142" s="723">
        <f t="shared" si="1"/>
        <v>1998.0040348810212</v>
      </c>
      <c r="AI142" s="723"/>
      <c r="AJ142" s="723"/>
      <c r="AK142" s="723"/>
      <c r="AL142" s="723"/>
      <c r="AM142" s="723"/>
      <c r="AN142" s="723"/>
      <c r="AO142" s="723"/>
      <c r="AP142" s="723"/>
      <c r="AQ142" s="723"/>
      <c r="AR142" s="723">
        <v>0</v>
      </c>
      <c r="AS142" s="723"/>
      <c r="AT142" s="723"/>
      <c r="AU142" s="723"/>
      <c r="AV142" s="723"/>
      <c r="AW142" s="723"/>
      <c r="AX142" s="723"/>
      <c r="AY142" s="723"/>
      <c r="AZ142" s="723"/>
      <c r="BA142" s="723">
        <f t="shared" si="11"/>
        <v>954.2972921907083</v>
      </c>
      <c r="BB142" s="723"/>
      <c r="BC142" s="723"/>
      <c r="BD142" s="723"/>
      <c r="BE142" s="723"/>
      <c r="BF142" s="723"/>
      <c r="BG142" s="723"/>
      <c r="BH142" s="723"/>
      <c r="BI142" s="723"/>
      <c r="BJ142" s="723">
        <f t="shared" si="2"/>
        <v>1258.6029282361592</v>
      </c>
      <c r="BK142" s="723"/>
      <c r="BL142" s="723"/>
      <c r="BM142" s="723"/>
      <c r="BN142" s="723"/>
      <c r="BO142" s="723"/>
      <c r="BP142" s="723"/>
      <c r="BQ142" s="723"/>
      <c r="BR142" s="723">
        <f t="shared" si="29"/>
        <v>3665.3939466052707</v>
      </c>
      <c r="BS142" s="723"/>
      <c r="BT142" s="723"/>
      <c r="BU142" s="723"/>
      <c r="BV142" s="723"/>
      <c r="BW142" s="723"/>
      <c r="BX142" s="723"/>
      <c r="BY142" s="723"/>
      <c r="BZ142" s="723"/>
      <c r="CA142" s="723"/>
      <c r="CB142" s="8"/>
      <c r="CC142" s="285">
        <f t="shared" si="3"/>
        <v>1094.220189689505</v>
      </c>
      <c r="CD142" s="285">
        <f t="shared" si="12"/>
        <v>1258.6029282361592</v>
      </c>
      <c r="CF142" s="285">
        <f t="shared" si="13"/>
        <v>3219.514354936882</v>
      </c>
      <c r="CG142" s="285">
        <f t="shared" si="14"/>
        <v>1400.1768838590974</v>
      </c>
      <c r="CH142" s="285">
        <f t="shared" si="30"/>
        <v>4619.691238795979</v>
      </c>
      <c r="CI142" s="285">
        <f t="shared" si="31"/>
        <v>1210.841957370036</v>
      </c>
      <c r="CJ142" s="285">
        <f>CK141*CG124</f>
        <v>285.15217736923586</v>
      </c>
      <c r="CK142" s="285">
        <f>CJ142*$CG$124+(150*A!J6)</f>
        <v>1043.706742690313</v>
      </c>
      <c r="CL142" s="285"/>
      <c r="CM142" s="286">
        <f t="shared" si="16"/>
        <v>307.624596614219</v>
      </c>
      <c r="CN142" s="311">
        <f t="shared" si="17"/>
        <v>487.5615934866499</v>
      </c>
      <c r="CP142" s="285">
        <f t="shared" si="18"/>
        <v>795.1861901008689</v>
      </c>
      <c r="CQ142" s="285">
        <f t="shared" si="32"/>
        <v>1210.841957370036</v>
      </c>
      <c r="CR142" s="285"/>
      <c r="CS142" s="285">
        <f t="shared" si="33"/>
        <v>0.996</v>
      </c>
      <c r="CT142" s="286">
        <f t="shared" si="19"/>
        <v>1205.9985895405557</v>
      </c>
      <c r="CU142" s="311"/>
      <c r="CV142" s="312">
        <f t="shared" si="20"/>
        <v>792.0054453404654</v>
      </c>
      <c r="CW142" s="311">
        <f t="shared" si="21"/>
        <v>1998.0040348810212</v>
      </c>
      <c r="CY142" s="285">
        <f t="shared" si="22"/>
        <v>2621.687203914958</v>
      </c>
      <c r="CZ142" s="285">
        <f t="shared" si="4"/>
        <v>2621.687203914958</v>
      </c>
      <c r="DA142" s="285">
        <f t="shared" si="23"/>
        <v>2621.687203914958</v>
      </c>
      <c r="DB142" s="3">
        <f t="shared" si="5"/>
        <v>0</v>
      </c>
      <c r="DC142" s="3">
        <f t="shared" si="6"/>
        <v>0</v>
      </c>
      <c r="DD142" s="3">
        <v>13</v>
      </c>
      <c r="DE142" s="285">
        <f t="shared" si="34"/>
        <v>424.37253891964275</v>
      </c>
      <c r="DF142" s="285">
        <f t="shared" si="34"/>
        <v>674.242109362993</v>
      </c>
      <c r="DH142" s="286">
        <f t="shared" si="7"/>
        <v>422.6750487639642</v>
      </c>
      <c r="DI142" s="286">
        <f t="shared" si="8"/>
        <v>671.545140925541</v>
      </c>
      <c r="DK142" s="286">
        <f t="shared" si="24"/>
        <v>1094.220189689505</v>
      </c>
      <c r="DL142" s="3">
        <f t="shared" si="25"/>
        <v>0</v>
      </c>
    </row>
    <row r="143" spans="1:116" ht="15" customHeight="1">
      <c r="A143" s="3">
        <f t="shared" si="26"/>
        <v>1</v>
      </c>
      <c r="B143" s="689">
        <v>14</v>
      </c>
      <c r="C143" s="689"/>
      <c r="D143" s="726">
        <f t="shared" si="9"/>
        <v>4882.870944285147</v>
      </c>
      <c r="E143" s="726"/>
      <c r="F143" s="726"/>
      <c r="G143" s="726"/>
      <c r="H143" s="726"/>
      <c r="I143" s="726"/>
      <c r="J143" s="726"/>
      <c r="K143" s="726"/>
      <c r="L143" s="726"/>
      <c r="M143" s="726">
        <f t="shared" si="10"/>
        <v>0</v>
      </c>
      <c r="N143" s="726"/>
      <c r="O143" s="726"/>
      <c r="P143" s="726"/>
      <c r="Q143" s="726"/>
      <c r="R143" s="726"/>
      <c r="S143" s="726"/>
      <c r="T143" s="726"/>
      <c r="U143" s="726"/>
      <c r="V143" s="726"/>
      <c r="W143" s="723">
        <f t="shared" si="27"/>
        <v>293.7067426903129</v>
      </c>
      <c r="X143" s="723"/>
      <c r="Y143" s="723"/>
      <c r="Z143" s="723"/>
      <c r="AA143" s="723"/>
      <c r="AB143" s="723"/>
      <c r="AC143" s="723"/>
      <c r="AD143" s="723"/>
      <c r="AE143" s="723"/>
      <c r="AF143" s="723"/>
      <c r="AG143" s="723"/>
      <c r="AH143" s="723">
        <f t="shared" si="1"/>
        <v>2096.7493660057285</v>
      </c>
      <c r="AI143" s="723"/>
      <c r="AJ143" s="723"/>
      <c r="AK143" s="723"/>
      <c r="AL143" s="723"/>
      <c r="AM143" s="723"/>
      <c r="AN143" s="723"/>
      <c r="AO143" s="723"/>
      <c r="AP143" s="723"/>
      <c r="AQ143" s="723"/>
      <c r="AR143" s="723">
        <v>0</v>
      </c>
      <c r="AS143" s="723"/>
      <c r="AT143" s="723"/>
      <c r="AU143" s="723"/>
      <c r="AV143" s="723"/>
      <c r="AW143" s="723"/>
      <c r="AX143" s="723"/>
      <c r="AY143" s="723"/>
      <c r="AZ143" s="723"/>
      <c r="BA143" s="723">
        <f t="shared" si="11"/>
        <v>1803.0426233154155</v>
      </c>
      <c r="BB143" s="723"/>
      <c r="BC143" s="723"/>
      <c r="BD143" s="723"/>
      <c r="BE143" s="723"/>
      <c r="BF143" s="723"/>
      <c r="BG143" s="723"/>
      <c r="BH143" s="723"/>
      <c r="BI143" s="723"/>
      <c r="BJ143" s="723">
        <f t="shared" si="2"/>
        <v>3061.6455515515745</v>
      </c>
      <c r="BK143" s="723"/>
      <c r="BL143" s="723"/>
      <c r="BM143" s="723"/>
      <c r="BN143" s="723"/>
      <c r="BO143" s="723"/>
      <c r="BP143" s="723"/>
      <c r="BQ143" s="723"/>
      <c r="BR143" s="723">
        <f t="shared" si="29"/>
        <v>3079.828320969731</v>
      </c>
      <c r="BS143" s="723"/>
      <c r="BT143" s="723"/>
      <c r="BU143" s="723"/>
      <c r="BV143" s="723"/>
      <c r="BW143" s="723"/>
      <c r="BX143" s="723"/>
      <c r="BY143" s="723"/>
      <c r="BZ143" s="723"/>
      <c r="CA143" s="723"/>
      <c r="CB143" s="8"/>
      <c r="CC143" s="285">
        <f t="shared" si="3"/>
        <v>1092.02296039294</v>
      </c>
      <c r="CD143" s="285">
        <f t="shared" si="12"/>
        <v>3061.6455515515745</v>
      </c>
      <c r="CF143" s="285">
        <f t="shared" si="13"/>
        <v>3412.6852162330947</v>
      </c>
      <c r="CG143" s="285">
        <f t="shared" si="14"/>
        <v>1470.1857280520524</v>
      </c>
      <c r="CH143" s="285">
        <f t="shared" si="30"/>
        <v>4882.870944285147</v>
      </c>
      <c r="CI143" s="285">
        <f t="shared" si="31"/>
        <v>1271.3840552385377</v>
      </c>
      <c r="CJ143" s="285"/>
      <c r="CK143" s="285">
        <f>CJ142*CG124</f>
        <v>293.7067426903129</v>
      </c>
      <c r="CL143" s="285"/>
      <c r="CM143" s="286">
        <f t="shared" si="16"/>
        <v>326.08207241107215</v>
      </c>
      <c r="CN143" s="311">
        <f t="shared" si="17"/>
        <v>511.9396731609824</v>
      </c>
      <c r="CP143" s="285">
        <f t="shared" si="18"/>
        <v>838.0217455720546</v>
      </c>
      <c r="CQ143" s="285">
        <f t="shared" si="32"/>
        <v>1271.3840552385377</v>
      </c>
      <c r="CR143" s="285"/>
      <c r="CS143" s="285">
        <f t="shared" si="33"/>
        <v>0.994</v>
      </c>
      <c r="CT143" s="286">
        <f t="shared" si="19"/>
        <v>1263.7557509071064</v>
      </c>
      <c r="CU143" s="311"/>
      <c r="CV143" s="312">
        <f t="shared" si="20"/>
        <v>832.9936150986222</v>
      </c>
      <c r="CW143" s="311">
        <f t="shared" si="21"/>
        <v>2096.7493660057285</v>
      </c>
      <c r="CY143" s="285">
        <f t="shared" si="22"/>
        <v>2786.1215782794184</v>
      </c>
      <c r="CZ143" s="285">
        <f t="shared" si="4"/>
        <v>2786.1215782794184</v>
      </c>
      <c r="DA143" s="285">
        <f t="shared" si="23"/>
        <v>2786.1215782794184</v>
      </c>
      <c r="DB143" s="3">
        <f t="shared" si="5"/>
        <v>0</v>
      </c>
      <c r="DC143" s="3">
        <f t="shared" si="6"/>
        <v>0</v>
      </c>
      <c r="DD143" s="3">
        <v>14</v>
      </c>
      <c r="DE143" s="285">
        <f t="shared" si="34"/>
        <v>424.37253891964275</v>
      </c>
      <c r="DF143" s="285">
        <f t="shared" si="34"/>
        <v>674.242109362993</v>
      </c>
      <c r="DH143" s="286">
        <f t="shared" si="7"/>
        <v>421.8263036861249</v>
      </c>
      <c r="DI143" s="286">
        <f t="shared" si="8"/>
        <v>670.196656706815</v>
      </c>
      <c r="DK143" s="286">
        <f t="shared" si="24"/>
        <v>1092.02296039294</v>
      </c>
      <c r="DL143" s="3">
        <f t="shared" si="25"/>
        <v>0</v>
      </c>
    </row>
    <row r="144" spans="1:116" ht="15" customHeight="1">
      <c r="A144" s="3">
        <f t="shared" si="26"/>
        <v>1</v>
      </c>
      <c r="B144" s="689">
        <v>15</v>
      </c>
      <c r="C144" s="689"/>
      <c r="D144" s="726">
        <f t="shared" si="9"/>
        <v>5161.141343661735</v>
      </c>
      <c r="E144" s="726"/>
      <c r="F144" s="726"/>
      <c r="G144" s="726"/>
      <c r="H144" s="726"/>
      <c r="I144" s="726"/>
      <c r="J144" s="726"/>
      <c r="K144" s="726"/>
      <c r="L144" s="726"/>
      <c r="M144" s="726">
        <f t="shared" si="10"/>
        <v>0</v>
      </c>
      <c r="N144" s="726"/>
      <c r="O144" s="726"/>
      <c r="P144" s="726"/>
      <c r="Q144" s="726"/>
      <c r="R144" s="726"/>
      <c r="S144" s="726"/>
      <c r="T144" s="726"/>
      <c r="U144" s="726"/>
      <c r="V144" s="726"/>
      <c r="W144" s="723">
        <f t="shared" si="27"/>
        <v>302.5179449710223</v>
      </c>
      <c r="X144" s="723"/>
      <c r="Y144" s="723"/>
      <c r="Z144" s="723"/>
      <c r="AA144" s="723"/>
      <c r="AB144" s="723"/>
      <c r="AC144" s="723"/>
      <c r="AD144" s="723"/>
      <c r="AE144" s="723"/>
      <c r="AF144" s="723"/>
      <c r="AG144" s="723"/>
      <c r="AH144" s="723">
        <f t="shared" si="1"/>
        <v>2200.3918162826308</v>
      </c>
      <c r="AI144" s="723"/>
      <c r="AJ144" s="723"/>
      <c r="AK144" s="723"/>
      <c r="AL144" s="723"/>
      <c r="AM144" s="723"/>
      <c r="AN144" s="723"/>
      <c r="AO144" s="723"/>
      <c r="AP144" s="723"/>
      <c r="AQ144" s="723"/>
      <c r="AR144" s="723">
        <v>0</v>
      </c>
      <c r="AS144" s="723"/>
      <c r="AT144" s="723"/>
      <c r="AU144" s="723"/>
      <c r="AV144" s="723"/>
      <c r="AW144" s="723"/>
      <c r="AX144" s="723"/>
      <c r="AY144" s="723"/>
      <c r="AZ144" s="723"/>
      <c r="BA144" s="723">
        <f t="shared" si="11"/>
        <v>1897.8738713116086</v>
      </c>
      <c r="BB144" s="723"/>
      <c r="BC144" s="723"/>
      <c r="BD144" s="723"/>
      <c r="BE144" s="723"/>
      <c r="BF144" s="723"/>
      <c r="BG144" s="723"/>
      <c r="BH144" s="723"/>
      <c r="BI144" s="723"/>
      <c r="BJ144" s="723">
        <f t="shared" si="2"/>
        <v>4959.519422863183</v>
      </c>
      <c r="BK144" s="723"/>
      <c r="BL144" s="723"/>
      <c r="BM144" s="723"/>
      <c r="BN144" s="723"/>
      <c r="BO144" s="723"/>
      <c r="BP144" s="723"/>
      <c r="BQ144" s="723"/>
      <c r="BR144" s="723">
        <f t="shared" si="29"/>
        <v>3263.2674723501264</v>
      </c>
      <c r="BS144" s="723"/>
      <c r="BT144" s="723"/>
      <c r="BU144" s="723"/>
      <c r="BV144" s="723"/>
      <c r="BW144" s="723"/>
      <c r="BX144" s="723"/>
      <c r="BY144" s="723"/>
      <c r="BZ144" s="723"/>
      <c r="CA144" s="723"/>
      <c r="CB144" s="8"/>
      <c r="CC144" s="285">
        <f t="shared" si="3"/>
        <v>1089.8257310963747</v>
      </c>
      <c r="CD144" s="285">
        <f t="shared" si="12"/>
        <v>4959.519422863183</v>
      </c>
      <c r="CF144" s="285">
        <f t="shared" si="13"/>
        <v>3617.4463292070805</v>
      </c>
      <c r="CG144" s="285">
        <f t="shared" si="14"/>
        <v>1543.695014454655</v>
      </c>
      <c r="CH144" s="285">
        <f t="shared" si="30"/>
        <v>5161.141343661735</v>
      </c>
      <c r="CI144" s="285">
        <f t="shared" si="31"/>
        <v>1334.9532580004648</v>
      </c>
      <c r="CJ144" s="285"/>
      <c r="CK144" s="285">
        <f aca="true" t="shared" si="35" ref="CK144:CK154">CK143*$CG$124</f>
        <v>302.5179449710223</v>
      </c>
      <c r="CL144" s="285"/>
      <c r="CM144" s="286">
        <f t="shared" si="16"/>
        <v>345.6469967557365</v>
      </c>
      <c r="CN144" s="311">
        <f t="shared" si="17"/>
        <v>537.5366568190316</v>
      </c>
      <c r="CP144" s="285">
        <f t="shared" si="18"/>
        <v>883.1836535747681</v>
      </c>
      <c r="CQ144" s="285">
        <f t="shared" si="32"/>
        <v>1334.9532580004648</v>
      </c>
      <c r="CR144" s="285"/>
      <c r="CS144" s="285">
        <f t="shared" si="33"/>
        <v>0.992</v>
      </c>
      <c r="CT144" s="286">
        <f t="shared" si="19"/>
        <v>1324.273631936461</v>
      </c>
      <c r="CU144" s="311"/>
      <c r="CV144" s="312">
        <f t="shared" si="20"/>
        <v>876.1181843461699</v>
      </c>
      <c r="CW144" s="311">
        <f t="shared" si="21"/>
        <v>2200.3918162826308</v>
      </c>
      <c r="CY144" s="285">
        <f t="shared" si="22"/>
        <v>2960.749527379104</v>
      </c>
      <c r="CZ144" s="285">
        <f t="shared" si="4"/>
        <v>2960.749527379104</v>
      </c>
      <c r="DA144" s="285">
        <f t="shared" si="23"/>
        <v>2960.749527379104</v>
      </c>
      <c r="DB144" s="3">
        <f t="shared" si="5"/>
        <v>0</v>
      </c>
      <c r="DC144" s="3">
        <f t="shared" si="6"/>
        <v>0</v>
      </c>
      <c r="DD144" s="3">
        <v>15</v>
      </c>
      <c r="DE144" s="285">
        <f t="shared" si="34"/>
        <v>424.37253891964275</v>
      </c>
      <c r="DF144" s="285">
        <f t="shared" si="34"/>
        <v>674.242109362993</v>
      </c>
      <c r="DH144" s="286">
        <f t="shared" si="7"/>
        <v>420.9775586082856</v>
      </c>
      <c r="DI144" s="286">
        <f t="shared" si="8"/>
        <v>668.8481724880891</v>
      </c>
      <c r="DK144" s="286">
        <f t="shared" si="24"/>
        <v>1089.8257310963747</v>
      </c>
      <c r="DL144" s="3">
        <f t="shared" si="25"/>
        <v>0</v>
      </c>
    </row>
    <row r="145" spans="1:116" ht="15" customHeight="1">
      <c r="A145" s="3">
        <f t="shared" si="26"/>
        <v>1</v>
      </c>
      <c r="B145" s="689">
        <v>16</v>
      </c>
      <c r="C145" s="689"/>
      <c r="D145" s="726">
        <f t="shared" si="9"/>
        <v>5455.372874136893</v>
      </c>
      <c r="E145" s="726"/>
      <c r="F145" s="726"/>
      <c r="G145" s="726"/>
      <c r="H145" s="726"/>
      <c r="I145" s="726"/>
      <c r="J145" s="726"/>
      <c r="K145" s="726"/>
      <c r="L145" s="726"/>
      <c r="M145" s="726">
        <f t="shared" si="10"/>
        <v>0</v>
      </c>
      <c r="N145" s="726"/>
      <c r="O145" s="726"/>
      <c r="P145" s="726"/>
      <c r="Q145" s="726"/>
      <c r="R145" s="726"/>
      <c r="S145" s="726"/>
      <c r="T145" s="726"/>
      <c r="U145" s="726"/>
      <c r="V145" s="726"/>
      <c r="W145" s="723">
        <f t="shared" si="27"/>
        <v>311.593483320153</v>
      </c>
      <c r="X145" s="723"/>
      <c r="Y145" s="723"/>
      <c r="Z145" s="723"/>
      <c r="AA145" s="723"/>
      <c r="AB145" s="723"/>
      <c r="AC145" s="723"/>
      <c r="AD145" s="723"/>
      <c r="AE145" s="723"/>
      <c r="AF145" s="723"/>
      <c r="AG145" s="723"/>
      <c r="AH145" s="723">
        <f t="shared" si="1"/>
        <v>2309.1752248503362</v>
      </c>
      <c r="AI145" s="723"/>
      <c r="AJ145" s="723"/>
      <c r="AK145" s="723"/>
      <c r="AL145" s="723"/>
      <c r="AM145" s="723"/>
      <c r="AN145" s="723"/>
      <c r="AO145" s="723"/>
      <c r="AP145" s="723"/>
      <c r="AQ145" s="723"/>
      <c r="AR145" s="723">
        <v>0</v>
      </c>
      <c r="AS145" s="723"/>
      <c r="AT145" s="723"/>
      <c r="AU145" s="723"/>
      <c r="AV145" s="723"/>
      <c r="AW145" s="723"/>
      <c r="AX145" s="723"/>
      <c r="AY145" s="723"/>
      <c r="AZ145" s="723"/>
      <c r="BA145" s="723">
        <f t="shared" si="11"/>
        <v>1997.5817415301833</v>
      </c>
      <c r="BB145" s="723"/>
      <c r="BC145" s="723"/>
      <c r="BD145" s="723"/>
      <c r="BE145" s="723"/>
      <c r="BF145" s="723"/>
      <c r="BG145" s="723"/>
      <c r="BH145" s="723"/>
      <c r="BI145" s="723"/>
      <c r="BJ145" s="723">
        <f t="shared" si="2"/>
        <v>6957.101164393366</v>
      </c>
      <c r="BK145" s="723"/>
      <c r="BL145" s="723"/>
      <c r="BM145" s="723"/>
      <c r="BN145" s="723"/>
      <c r="BO145" s="723"/>
      <c r="BP145" s="723"/>
      <c r="BQ145" s="723"/>
      <c r="BR145" s="723">
        <f t="shared" si="29"/>
        <v>3457.7911326067097</v>
      </c>
      <c r="BS145" s="723"/>
      <c r="BT145" s="723"/>
      <c r="BU145" s="723"/>
      <c r="BV145" s="723"/>
      <c r="BW145" s="723"/>
      <c r="BX145" s="723"/>
      <c r="BY145" s="723"/>
      <c r="BZ145" s="723"/>
      <c r="CA145" s="723"/>
      <c r="CB145" s="8"/>
      <c r="CC145" s="285">
        <f t="shared" si="3"/>
        <v>1087.6285017998093</v>
      </c>
      <c r="CD145" s="285">
        <f t="shared" si="12"/>
        <v>6957.101164393366</v>
      </c>
      <c r="CF145" s="285">
        <f t="shared" si="13"/>
        <v>3834.4931089595057</v>
      </c>
      <c r="CG145" s="285">
        <f t="shared" si="14"/>
        <v>1620.8797651773878</v>
      </c>
      <c r="CH145" s="285">
        <f t="shared" si="30"/>
        <v>5455.372874136893</v>
      </c>
      <c r="CI145" s="285">
        <f t="shared" si="31"/>
        <v>1401.700920900488</v>
      </c>
      <c r="CJ145" s="285"/>
      <c r="CK145" s="285">
        <f t="shared" si="35"/>
        <v>311.593483320153</v>
      </c>
      <c r="CL145" s="285"/>
      <c r="CM145" s="286">
        <f t="shared" si="16"/>
        <v>366.38581656108073</v>
      </c>
      <c r="CN145" s="311">
        <f t="shared" si="17"/>
        <v>564.4134896599832</v>
      </c>
      <c r="CP145" s="285">
        <f t="shared" si="18"/>
        <v>930.799306221064</v>
      </c>
      <c r="CQ145" s="285">
        <f t="shared" si="32"/>
        <v>1401.700920900488</v>
      </c>
      <c r="CR145" s="285"/>
      <c r="CS145" s="285">
        <f t="shared" si="33"/>
        <v>0.99</v>
      </c>
      <c r="CT145" s="286">
        <f t="shared" si="19"/>
        <v>1387.683911691483</v>
      </c>
      <c r="CU145" s="311"/>
      <c r="CV145" s="312">
        <f t="shared" si="20"/>
        <v>921.4913131588532</v>
      </c>
      <c r="CW145" s="311">
        <f t="shared" si="21"/>
        <v>2309.1752248503362</v>
      </c>
      <c r="CY145" s="285">
        <f t="shared" si="22"/>
        <v>3146.197649286557</v>
      </c>
      <c r="CZ145" s="285">
        <f t="shared" si="4"/>
        <v>3146.197649286557</v>
      </c>
      <c r="DA145" s="285">
        <f t="shared" si="23"/>
        <v>3146.197649286557</v>
      </c>
      <c r="DB145" s="3">
        <f t="shared" si="5"/>
        <v>0</v>
      </c>
      <c r="DC145" s="3">
        <f t="shared" si="6"/>
        <v>0</v>
      </c>
      <c r="DD145" s="3">
        <v>16</v>
      </c>
      <c r="DE145" s="285">
        <f t="shared" si="34"/>
        <v>424.37253891964275</v>
      </c>
      <c r="DF145" s="285">
        <f t="shared" si="34"/>
        <v>674.242109362993</v>
      </c>
      <c r="DH145" s="286">
        <f t="shared" si="7"/>
        <v>420.12881353044634</v>
      </c>
      <c r="DI145" s="286">
        <f t="shared" si="8"/>
        <v>667.4996882693631</v>
      </c>
      <c r="DK145" s="286">
        <f t="shared" si="24"/>
        <v>1087.6285017998093</v>
      </c>
      <c r="DL145" s="3">
        <f t="shared" si="25"/>
        <v>0</v>
      </c>
    </row>
    <row r="146" spans="1:116" ht="15" customHeight="1">
      <c r="A146" s="3">
        <f t="shared" si="26"/>
        <v>1</v>
      </c>
      <c r="B146" s="689">
        <v>17</v>
      </c>
      <c r="C146" s="689"/>
      <c r="D146" s="726">
        <f t="shared" si="9"/>
        <v>5766.486448933333</v>
      </c>
      <c r="E146" s="726"/>
      <c r="F146" s="726"/>
      <c r="G146" s="726"/>
      <c r="H146" s="726"/>
      <c r="I146" s="726"/>
      <c r="J146" s="726"/>
      <c r="K146" s="726"/>
      <c r="L146" s="726"/>
      <c r="M146" s="726">
        <f t="shared" si="10"/>
        <v>0</v>
      </c>
      <c r="N146" s="726"/>
      <c r="O146" s="726"/>
      <c r="P146" s="726"/>
      <c r="Q146" s="726"/>
      <c r="R146" s="726"/>
      <c r="S146" s="726"/>
      <c r="T146" s="726"/>
      <c r="U146" s="726"/>
      <c r="V146" s="726"/>
      <c r="W146" s="723">
        <f t="shared" si="27"/>
        <v>320.9412878197576</v>
      </c>
      <c r="X146" s="723"/>
      <c r="Y146" s="723"/>
      <c r="Z146" s="723"/>
      <c r="AA146" s="723"/>
      <c r="AB146" s="723"/>
      <c r="AC146" s="723"/>
      <c r="AD146" s="723"/>
      <c r="AE146" s="723"/>
      <c r="AF146" s="723"/>
      <c r="AG146" s="723"/>
      <c r="AH146" s="723">
        <f t="shared" si="1"/>
        <v>2423.3556274835214</v>
      </c>
      <c r="AI146" s="723"/>
      <c r="AJ146" s="723"/>
      <c r="AK146" s="723"/>
      <c r="AL146" s="723"/>
      <c r="AM146" s="723"/>
      <c r="AN146" s="723"/>
      <c r="AO146" s="723"/>
      <c r="AP146" s="723"/>
      <c r="AQ146" s="723"/>
      <c r="AR146" s="723">
        <v>0</v>
      </c>
      <c r="AS146" s="723"/>
      <c r="AT146" s="723"/>
      <c r="AU146" s="723"/>
      <c r="AV146" s="723"/>
      <c r="AW146" s="723"/>
      <c r="AX146" s="723"/>
      <c r="AY146" s="723"/>
      <c r="AZ146" s="723"/>
      <c r="BA146" s="723">
        <f t="shared" si="11"/>
        <v>2102.4143396637637</v>
      </c>
      <c r="BB146" s="723"/>
      <c r="BC146" s="723"/>
      <c r="BD146" s="723"/>
      <c r="BE146" s="723"/>
      <c r="BF146" s="723"/>
      <c r="BG146" s="723"/>
      <c r="BH146" s="723"/>
      <c r="BI146" s="723"/>
      <c r="BJ146" s="723">
        <f t="shared" si="2"/>
        <v>9059.51550405713</v>
      </c>
      <c r="BK146" s="723"/>
      <c r="BL146" s="723"/>
      <c r="BM146" s="723"/>
      <c r="BN146" s="723"/>
      <c r="BO146" s="723"/>
      <c r="BP146" s="723"/>
      <c r="BQ146" s="723"/>
      <c r="BR146" s="723">
        <f t="shared" si="29"/>
        <v>3664.0721092695694</v>
      </c>
      <c r="BS146" s="723"/>
      <c r="BT146" s="723"/>
      <c r="BU146" s="723"/>
      <c r="BV146" s="723"/>
      <c r="BW146" s="723"/>
      <c r="BX146" s="723"/>
      <c r="BY146" s="723"/>
      <c r="BZ146" s="723"/>
      <c r="CA146" s="723"/>
      <c r="CB146" s="8"/>
      <c r="CC146" s="285">
        <f t="shared" si="3"/>
        <v>1085.4312725032441</v>
      </c>
      <c r="CD146" s="285">
        <f t="shared" si="12"/>
        <v>9059.51550405713</v>
      </c>
      <c r="CF146" s="285">
        <f t="shared" si="13"/>
        <v>4064.562695497076</v>
      </c>
      <c r="CG146" s="285">
        <f t="shared" si="14"/>
        <v>1701.9237534362571</v>
      </c>
      <c r="CH146" s="285">
        <f t="shared" si="30"/>
        <v>5766.486448933333</v>
      </c>
      <c r="CI146" s="285">
        <f t="shared" si="31"/>
        <v>1471.7859669455124</v>
      </c>
      <c r="CJ146" s="285"/>
      <c r="CK146" s="285">
        <f t="shared" si="35"/>
        <v>320.9412878197576</v>
      </c>
      <c r="CL146" s="285"/>
      <c r="CM146" s="286">
        <f t="shared" si="16"/>
        <v>388.3689655547456</v>
      </c>
      <c r="CN146" s="311">
        <f t="shared" si="17"/>
        <v>592.6341641429823</v>
      </c>
      <c r="CP146" s="285">
        <f t="shared" si="18"/>
        <v>981.0031296977279</v>
      </c>
      <c r="CQ146" s="285">
        <f t="shared" si="32"/>
        <v>1471.7859669455124</v>
      </c>
      <c r="CR146" s="285"/>
      <c r="CS146" s="285">
        <f t="shared" si="33"/>
        <v>0.988</v>
      </c>
      <c r="CT146" s="286">
        <f t="shared" si="19"/>
        <v>1454.1245353421662</v>
      </c>
      <c r="CU146" s="311"/>
      <c r="CV146" s="312">
        <f t="shared" si="20"/>
        <v>969.2310921413551</v>
      </c>
      <c r="CW146" s="311">
        <f t="shared" si="21"/>
        <v>2423.3556274835214</v>
      </c>
      <c r="CY146" s="285">
        <f t="shared" si="22"/>
        <v>3343.1308214498117</v>
      </c>
      <c r="CZ146" s="285">
        <f t="shared" si="4"/>
        <v>3343.1308214498117</v>
      </c>
      <c r="DA146" s="285">
        <f t="shared" si="23"/>
        <v>3343.1308214498117</v>
      </c>
      <c r="DB146" s="3">
        <f t="shared" si="5"/>
        <v>0</v>
      </c>
      <c r="DC146" s="3">
        <f t="shared" si="6"/>
        <v>0</v>
      </c>
      <c r="DD146" s="3">
        <v>17</v>
      </c>
      <c r="DE146" s="285">
        <f t="shared" si="34"/>
        <v>424.37253891964275</v>
      </c>
      <c r="DF146" s="285">
        <f t="shared" si="34"/>
        <v>674.242109362993</v>
      </c>
      <c r="DH146" s="286">
        <f t="shared" si="7"/>
        <v>419.28006845260705</v>
      </c>
      <c r="DI146" s="286">
        <f t="shared" si="8"/>
        <v>666.151204050637</v>
      </c>
      <c r="DK146" s="286">
        <f t="shared" si="24"/>
        <v>1085.4312725032441</v>
      </c>
      <c r="DL146" s="3">
        <f t="shared" si="25"/>
        <v>0</v>
      </c>
    </row>
    <row r="147" spans="1:116" ht="15" customHeight="1">
      <c r="A147" s="3">
        <f t="shared" si="26"/>
        <v>1</v>
      </c>
      <c r="B147" s="689">
        <v>18</v>
      </c>
      <c r="C147" s="689"/>
      <c r="D147" s="726">
        <f t="shared" si="9"/>
        <v>6095.456398334972</v>
      </c>
      <c r="E147" s="726"/>
      <c r="F147" s="726"/>
      <c r="G147" s="726"/>
      <c r="H147" s="726"/>
      <c r="I147" s="726"/>
      <c r="J147" s="726"/>
      <c r="K147" s="726"/>
      <c r="L147" s="726"/>
      <c r="M147" s="726">
        <f t="shared" si="10"/>
        <v>0</v>
      </c>
      <c r="N147" s="726"/>
      <c r="O147" s="726"/>
      <c r="P147" s="726"/>
      <c r="Q147" s="726"/>
      <c r="R147" s="726"/>
      <c r="S147" s="726"/>
      <c r="T147" s="726"/>
      <c r="U147" s="726"/>
      <c r="V147" s="726"/>
      <c r="W147" s="723">
        <f t="shared" si="27"/>
        <v>330.5695264543503</v>
      </c>
      <c r="X147" s="723"/>
      <c r="Y147" s="723"/>
      <c r="Z147" s="723"/>
      <c r="AA147" s="723"/>
      <c r="AB147" s="723"/>
      <c r="AC147" s="723"/>
      <c r="AD147" s="723"/>
      <c r="AE147" s="723"/>
      <c r="AF147" s="723"/>
      <c r="AG147" s="723"/>
      <c r="AH147" s="723">
        <f t="shared" si="1"/>
        <v>2543.2018697551166</v>
      </c>
      <c r="AI147" s="723"/>
      <c r="AJ147" s="723"/>
      <c r="AK147" s="723"/>
      <c r="AL147" s="723"/>
      <c r="AM147" s="723"/>
      <c r="AN147" s="723"/>
      <c r="AO147" s="723"/>
      <c r="AP147" s="723"/>
      <c r="AQ147" s="723"/>
      <c r="AR147" s="723">
        <v>0</v>
      </c>
      <c r="AS147" s="723"/>
      <c r="AT147" s="723"/>
      <c r="AU147" s="723"/>
      <c r="AV147" s="723"/>
      <c r="AW147" s="723"/>
      <c r="AX147" s="723"/>
      <c r="AY147" s="723"/>
      <c r="AZ147" s="723"/>
      <c r="BA147" s="723">
        <f t="shared" si="11"/>
        <v>2212.6323433007665</v>
      </c>
      <c r="BB147" s="723"/>
      <c r="BC147" s="723"/>
      <c r="BD147" s="723"/>
      <c r="BE147" s="723"/>
      <c r="BF147" s="723"/>
      <c r="BG147" s="723"/>
      <c r="BH147" s="723"/>
      <c r="BI147" s="723"/>
      <c r="BJ147" s="723">
        <f t="shared" si="2"/>
        <v>11272.147847357897</v>
      </c>
      <c r="BK147" s="723"/>
      <c r="BL147" s="723"/>
      <c r="BM147" s="723"/>
      <c r="BN147" s="723"/>
      <c r="BO147" s="723"/>
      <c r="BP147" s="723"/>
      <c r="BQ147" s="723"/>
      <c r="BR147" s="723">
        <f t="shared" si="29"/>
        <v>3882.8240550342052</v>
      </c>
      <c r="BS147" s="723"/>
      <c r="BT147" s="723"/>
      <c r="BU147" s="723"/>
      <c r="BV147" s="723"/>
      <c r="BW147" s="723"/>
      <c r="BX147" s="723"/>
      <c r="BY147" s="723"/>
      <c r="BZ147" s="723"/>
      <c r="CA147" s="723"/>
      <c r="CB147" s="8"/>
      <c r="CC147" s="285">
        <f t="shared" si="3"/>
        <v>1083.234043206679</v>
      </c>
      <c r="CD147" s="285">
        <f t="shared" si="12"/>
        <v>11272.147847357897</v>
      </c>
      <c r="CF147" s="285">
        <f t="shared" si="13"/>
        <v>4308.436457226901</v>
      </c>
      <c r="CG147" s="285">
        <f t="shared" si="14"/>
        <v>1787.01994110807</v>
      </c>
      <c r="CH147" s="285">
        <f t="shared" si="30"/>
        <v>6095.456398334972</v>
      </c>
      <c r="CI147" s="285">
        <f t="shared" si="31"/>
        <v>1545.375265292788</v>
      </c>
      <c r="CJ147" s="285"/>
      <c r="CK147" s="285">
        <f t="shared" si="35"/>
        <v>330.5695264543503</v>
      </c>
      <c r="CL147" s="285"/>
      <c r="CM147" s="286">
        <f t="shared" si="16"/>
        <v>411.6711034880304</v>
      </c>
      <c r="CN147" s="311">
        <f t="shared" si="17"/>
        <v>622.2658723501314</v>
      </c>
      <c r="CP147" s="285">
        <f t="shared" si="18"/>
        <v>1033.9369758381617</v>
      </c>
      <c r="CQ147" s="285">
        <f t="shared" si="32"/>
        <v>1545.375265292788</v>
      </c>
      <c r="CR147" s="285"/>
      <c r="CS147" s="285">
        <f t="shared" si="33"/>
        <v>0.986</v>
      </c>
      <c r="CT147" s="286">
        <f t="shared" si="19"/>
        <v>1523.740011578689</v>
      </c>
      <c r="CU147" s="311"/>
      <c r="CV147" s="312">
        <f t="shared" si="20"/>
        <v>1019.4618581764274</v>
      </c>
      <c r="CW147" s="311">
        <f t="shared" si="21"/>
        <v>2543.2018697551166</v>
      </c>
      <c r="CY147" s="285">
        <f t="shared" si="22"/>
        <v>3552.254528579855</v>
      </c>
      <c r="CZ147" s="285">
        <f t="shared" si="4"/>
        <v>3552.254528579855</v>
      </c>
      <c r="DA147" s="285">
        <f t="shared" si="23"/>
        <v>3552.254528579855</v>
      </c>
      <c r="DB147" s="3">
        <f t="shared" si="5"/>
        <v>0</v>
      </c>
      <c r="DC147" s="3">
        <f t="shared" si="6"/>
        <v>0</v>
      </c>
      <c r="DD147" s="3">
        <v>18</v>
      </c>
      <c r="DE147" s="285">
        <f t="shared" si="34"/>
        <v>424.37253891964275</v>
      </c>
      <c r="DF147" s="285">
        <f t="shared" si="34"/>
        <v>674.242109362993</v>
      </c>
      <c r="DH147" s="286">
        <f t="shared" si="7"/>
        <v>418.43132337476777</v>
      </c>
      <c r="DI147" s="286">
        <f t="shared" si="8"/>
        <v>664.8027198319111</v>
      </c>
      <c r="DK147" s="286">
        <f t="shared" si="24"/>
        <v>1083.234043206679</v>
      </c>
      <c r="DL147" s="3">
        <f t="shared" si="25"/>
        <v>0</v>
      </c>
    </row>
    <row r="148" spans="1:116" ht="15" customHeight="1">
      <c r="A148" s="3">
        <f t="shared" si="26"/>
        <v>1</v>
      </c>
      <c r="B148" s="689">
        <v>19</v>
      </c>
      <c r="C148" s="689"/>
      <c r="D148" s="726">
        <f t="shared" si="9"/>
        <v>6443.313582823989</v>
      </c>
      <c r="E148" s="726"/>
      <c r="F148" s="726"/>
      <c r="G148" s="726"/>
      <c r="H148" s="726"/>
      <c r="I148" s="726"/>
      <c r="J148" s="726"/>
      <c r="K148" s="726"/>
      <c r="L148" s="726"/>
      <c r="M148" s="726">
        <f t="shared" si="10"/>
        <v>0</v>
      </c>
      <c r="N148" s="726"/>
      <c r="O148" s="726"/>
      <c r="P148" s="726"/>
      <c r="Q148" s="726"/>
      <c r="R148" s="726"/>
      <c r="S148" s="726"/>
      <c r="T148" s="726"/>
      <c r="U148" s="726"/>
      <c r="V148" s="726"/>
      <c r="W148" s="723">
        <f t="shared" si="27"/>
        <v>340.4866122479808</v>
      </c>
      <c r="X148" s="723"/>
      <c r="Y148" s="723"/>
      <c r="Z148" s="723"/>
      <c r="AA148" s="723"/>
      <c r="AB148" s="723"/>
      <c r="AC148" s="723"/>
      <c r="AD148" s="723"/>
      <c r="AE148" s="723"/>
      <c r="AF148" s="723"/>
      <c r="AG148" s="723"/>
      <c r="AH148" s="723">
        <f t="shared" si="1"/>
        <v>2668.9962511948197</v>
      </c>
      <c r="AI148" s="723"/>
      <c r="AJ148" s="723"/>
      <c r="AK148" s="723"/>
      <c r="AL148" s="723"/>
      <c r="AM148" s="723"/>
      <c r="AN148" s="723"/>
      <c r="AO148" s="723"/>
      <c r="AP148" s="723"/>
      <c r="AQ148" s="723"/>
      <c r="AR148" s="723">
        <v>0</v>
      </c>
      <c r="AS148" s="723"/>
      <c r="AT148" s="723"/>
      <c r="AU148" s="723"/>
      <c r="AV148" s="723"/>
      <c r="AW148" s="723"/>
      <c r="AX148" s="723"/>
      <c r="AY148" s="723"/>
      <c r="AZ148" s="723"/>
      <c r="BA148" s="723">
        <f t="shared" si="11"/>
        <v>2328.509638946839</v>
      </c>
      <c r="BB148" s="723"/>
      <c r="BC148" s="723"/>
      <c r="BD148" s="723"/>
      <c r="BE148" s="723"/>
      <c r="BF148" s="723"/>
      <c r="BG148" s="723"/>
      <c r="BH148" s="723"/>
      <c r="BI148" s="723"/>
      <c r="BJ148" s="723">
        <f t="shared" si="2"/>
        <v>13600.657486304735</v>
      </c>
      <c r="BK148" s="723"/>
      <c r="BL148" s="723"/>
      <c r="BM148" s="723"/>
      <c r="BN148" s="723"/>
      <c r="BO148" s="723"/>
      <c r="BP148" s="723"/>
      <c r="BQ148" s="723"/>
      <c r="BR148" s="723">
        <f t="shared" si="29"/>
        <v>4114.80394387715</v>
      </c>
      <c r="BS148" s="723"/>
      <c r="BT148" s="723"/>
      <c r="BU148" s="723"/>
      <c r="BV148" s="723"/>
      <c r="BW148" s="723"/>
      <c r="BX148" s="723"/>
      <c r="BY148" s="723"/>
      <c r="BZ148" s="723"/>
      <c r="CA148" s="723"/>
      <c r="CB148" s="8"/>
      <c r="CC148" s="285">
        <f t="shared" si="3"/>
        <v>1081.0368139101136</v>
      </c>
      <c r="CD148" s="285">
        <f t="shared" si="12"/>
        <v>13600.657486304735</v>
      </c>
      <c r="CF148" s="285">
        <f t="shared" si="13"/>
        <v>4566.942644660516</v>
      </c>
      <c r="CG148" s="285">
        <f t="shared" si="14"/>
        <v>1876.3709381634735</v>
      </c>
      <c r="CH148" s="285">
        <f t="shared" si="30"/>
        <v>6443.313582823989</v>
      </c>
      <c r="CI148" s="285">
        <f t="shared" si="31"/>
        <v>1622.6440285574276</v>
      </c>
      <c r="CJ148" s="285"/>
      <c r="CK148" s="285">
        <f t="shared" si="35"/>
        <v>340.4866122479808</v>
      </c>
      <c r="CL148" s="285"/>
      <c r="CM148" s="286">
        <f t="shared" si="16"/>
        <v>436.3713696973122</v>
      </c>
      <c r="CN148" s="311">
        <f t="shared" si="17"/>
        <v>653.379165967638</v>
      </c>
      <c r="CP148" s="285">
        <f t="shared" si="18"/>
        <v>1089.7505356649501</v>
      </c>
      <c r="CQ148" s="285">
        <f t="shared" si="32"/>
        <v>1622.6440285574276</v>
      </c>
      <c r="CR148" s="285"/>
      <c r="CS148" s="285">
        <f t="shared" si="33"/>
        <v>0.984</v>
      </c>
      <c r="CT148" s="286">
        <f t="shared" si="19"/>
        <v>1596.6817241005087</v>
      </c>
      <c r="CU148" s="311"/>
      <c r="CV148" s="312">
        <f t="shared" si="20"/>
        <v>1072.314527094311</v>
      </c>
      <c r="CW148" s="311">
        <f t="shared" si="21"/>
        <v>2668.9962511948197</v>
      </c>
      <c r="CY148" s="285">
        <f t="shared" si="22"/>
        <v>3774.3173316291695</v>
      </c>
      <c r="CZ148" s="285">
        <f t="shared" si="4"/>
        <v>3774.3173316291695</v>
      </c>
      <c r="DA148" s="285">
        <f t="shared" si="23"/>
        <v>3774.3173316291695</v>
      </c>
      <c r="DB148" s="3">
        <f t="shared" si="5"/>
        <v>0</v>
      </c>
      <c r="DC148" s="3">
        <f t="shared" si="6"/>
        <v>0</v>
      </c>
      <c r="DD148" s="3">
        <v>19</v>
      </c>
      <c r="DE148" s="285">
        <f aca="true" t="shared" si="36" ref="DE148:DF154">DE147</f>
        <v>424.37253891964275</v>
      </c>
      <c r="DF148" s="285">
        <f t="shared" si="36"/>
        <v>674.242109362993</v>
      </c>
      <c r="DH148" s="286">
        <f t="shared" si="7"/>
        <v>417.58257829692843</v>
      </c>
      <c r="DI148" s="286">
        <f t="shared" si="8"/>
        <v>663.4542356131851</v>
      </c>
      <c r="DK148" s="286">
        <f t="shared" si="24"/>
        <v>1081.0368139101136</v>
      </c>
      <c r="DL148" s="3">
        <f t="shared" si="25"/>
        <v>0</v>
      </c>
    </row>
    <row r="149" spans="1:116" ht="15" customHeight="1">
      <c r="A149" s="3">
        <f t="shared" si="26"/>
        <v>1</v>
      </c>
      <c r="B149" s="689">
        <v>20</v>
      </c>
      <c r="C149" s="689"/>
      <c r="D149" s="726">
        <f t="shared" si="9"/>
        <v>6811.148688411794</v>
      </c>
      <c r="E149" s="726"/>
      <c r="F149" s="726"/>
      <c r="G149" s="726"/>
      <c r="H149" s="726"/>
      <c r="I149" s="726"/>
      <c r="J149" s="726"/>
      <c r="K149" s="726"/>
      <c r="L149" s="726"/>
      <c r="M149" s="726">
        <f t="shared" si="10"/>
        <v>0</v>
      </c>
      <c r="N149" s="726"/>
      <c r="O149" s="726"/>
      <c r="P149" s="726"/>
      <c r="Q149" s="726"/>
      <c r="R149" s="726"/>
      <c r="S149" s="726"/>
      <c r="T149" s="726"/>
      <c r="U149" s="726"/>
      <c r="V149" s="726"/>
      <c r="W149" s="723">
        <f t="shared" si="27"/>
        <v>350.7012106154202</v>
      </c>
      <c r="X149" s="723"/>
      <c r="Y149" s="723"/>
      <c r="Z149" s="723"/>
      <c r="AA149" s="723"/>
      <c r="AB149" s="723"/>
      <c r="AC149" s="723"/>
      <c r="AD149" s="723"/>
      <c r="AE149" s="723"/>
      <c r="AF149" s="723"/>
      <c r="AG149" s="723"/>
      <c r="AH149" s="723">
        <f t="shared" si="1"/>
        <v>2801.0352020201217</v>
      </c>
      <c r="AI149" s="723"/>
      <c r="AJ149" s="723"/>
      <c r="AK149" s="723"/>
      <c r="AL149" s="723"/>
      <c r="AM149" s="723"/>
      <c r="AN149" s="723"/>
      <c r="AO149" s="723"/>
      <c r="AP149" s="723"/>
      <c r="AQ149" s="723"/>
      <c r="AR149" s="723">
        <v>0</v>
      </c>
      <c r="AS149" s="723"/>
      <c r="AT149" s="723"/>
      <c r="AU149" s="723"/>
      <c r="AV149" s="723"/>
      <c r="AW149" s="723"/>
      <c r="AX149" s="723"/>
      <c r="AY149" s="723"/>
      <c r="AZ149" s="723"/>
      <c r="BA149" s="723">
        <f t="shared" si="11"/>
        <v>2450.3339914047015</v>
      </c>
      <c r="BB149" s="723"/>
      <c r="BC149" s="723"/>
      <c r="BD149" s="723"/>
      <c r="BE149" s="723"/>
      <c r="BF149" s="723"/>
      <c r="BG149" s="723"/>
      <c r="BH149" s="723"/>
      <c r="BI149" s="723"/>
      <c r="BJ149" s="723">
        <f t="shared" si="2"/>
        <v>16050.991477709436</v>
      </c>
      <c r="BK149" s="723"/>
      <c r="BL149" s="723"/>
      <c r="BM149" s="723"/>
      <c r="BN149" s="723"/>
      <c r="BO149" s="723"/>
      <c r="BP149" s="723"/>
      <c r="BQ149" s="723"/>
      <c r="BR149" s="723">
        <f t="shared" si="29"/>
        <v>4360.814697007092</v>
      </c>
      <c r="BS149" s="723"/>
      <c r="BT149" s="723"/>
      <c r="BU149" s="723"/>
      <c r="BV149" s="723"/>
      <c r="BW149" s="723"/>
      <c r="BX149" s="723"/>
      <c r="BY149" s="723"/>
      <c r="BZ149" s="723"/>
      <c r="CA149" s="723"/>
      <c r="CB149" s="8"/>
      <c r="CC149" s="285">
        <f t="shared" si="3"/>
        <v>1078.8395846135484</v>
      </c>
      <c r="CD149" s="285">
        <f t="shared" si="12"/>
        <v>16050.991477709436</v>
      </c>
      <c r="CF149" s="285">
        <f t="shared" si="13"/>
        <v>4840.959203340147</v>
      </c>
      <c r="CG149" s="285">
        <f t="shared" si="14"/>
        <v>1970.1894850716474</v>
      </c>
      <c r="CH149" s="285">
        <f t="shared" si="30"/>
        <v>6811.148688411794</v>
      </c>
      <c r="CI149" s="285">
        <f t="shared" si="31"/>
        <v>1703.776229985299</v>
      </c>
      <c r="CJ149" s="285"/>
      <c r="CK149" s="285">
        <f t="shared" si="35"/>
        <v>350.7012106154202</v>
      </c>
      <c r="CL149" s="285"/>
      <c r="CM149" s="286">
        <f t="shared" si="16"/>
        <v>462.55365187915095</v>
      </c>
      <c r="CN149" s="311">
        <f t="shared" si="17"/>
        <v>686.0481242660198</v>
      </c>
      <c r="CP149" s="285">
        <f t="shared" si="18"/>
        <v>1148.6017761451708</v>
      </c>
      <c r="CQ149" s="285">
        <f t="shared" si="32"/>
        <v>1703.776229985299</v>
      </c>
      <c r="CR149" s="285"/>
      <c r="CS149" s="285">
        <f t="shared" si="33"/>
        <v>0.982</v>
      </c>
      <c r="CT149" s="286">
        <f t="shared" si="19"/>
        <v>1673.1082578455637</v>
      </c>
      <c r="CU149" s="311"/>
      <c r="CV149" s="312">
        <f t="shared" si="20"/>
        <v>1127.9269441745578</v>
      </c>
      <c r="CW149" s="311">
        <f t="shared" si="21"/>
        <v>2801.0352020201217</v>
      </c>
      <c r="CY149" s="285">
        <f t="shared" si="22"/>
        <v>4010.1134863916723</v>
      </c>
      <c r="CZ149" s="285">
        <f t="shared" si="4"/>
        <v>4010.1134863916723</v>
      </c>
      <c r="DA149" s="285">
        <f t="shared" si="23"/>
        <v>4010.1134863916723</v>
      </c>
      <c r="DB149" s="3">
        <f t="shared" si="5"/>
        <v>0</v>
      </c>
      <c r="DC149" s="3">
        <f t="shared" si="6"/>
        <v>0</v>
      </c>
      <c r="DD149" s="3">
        <v>20</v>
      </c>
      <c r="DE149" s="285">
        <f t="shared" si="36"/>
        <v>424.37253891964275</v>
      </c>
      <c r="DF149" s="285">
        <f t="shared" si="36"/>
        <v>674.242109362993</v>
      </c>
      <c r="DH149" s="286">
        <f t="shared" si="7"/>
        <v>416.73383321908915</v>
      </c>
      <c r="DI149" s="286">
        <f t="shared" si="8"/>
        <v>662.1057513944592</v>
      </c>
      <c r="DK149" s="286">
        <f t="shared" si="24"/>
        <v>1078.8395846135484</v>
      </c>
      <c r="DL149" s="3">
        <f t="shared" si="25"/>
        <v>0</v>
      </c>
    </row>
    <row r="150" spans="1:116" ht="15" customHeight="1">
      <c r="A150" s="3">
        <f t="shared" si="26"/>
        <v>0</v>
      </c>
      <c r="B150" s="689">
        <v>21</v>
      </c>
      <c r="C150" s="689"/>
      <c r="D150" s="726">
        <f t="shared" si="9"/>
        <v>0</v>
      </c>
      <c r="E150" s="726"/>
      <c r="F150" s="726"/>
      <c r="G150" s="726"/>
      <c r="H150" s="726"/>
      <c r="I150" s="726"/>
      <c r="J150" s="726"/>
      <c r="K150" s="726"/>
      <c r="L150" s="726"/>
      <c r="M150" s="726">
        <f t="shared" si="10"/>
        <v>0</v>
      </c>
      <c r="N150" s="726"/>
      <c r="O150" s="726"/>
      <c r="P150" s="726"/>
      <c r="Q150" s="726"/>
      <c r="R150" s="726"/>
      <c r="S150" s="726"/>
      <c r="T150" s="726"/>
      <c r="U150" s="726"/>
      <c r="V150" s="726"/>
      <c r="W150" s="723">
        <f t="shared" si="27"/>
        <v>0</v>
      </c>
      <c r="X150" s="723"/>
      <c r="Y150" s="723"/>
      <c r="Z150" s="723"/>
      <c r="AA150" s="723"/>
      <c r="AB150" s="723"/>
      <c r="AC150" s="723"/>
      <c r="AD150" s="723"/>
      <c r="AE150" s="723"/>
      <c r="AF150" s="723"/>
      <c r="AG150" s="723"/>
      <c r="AH150" s="723">
        <f t="shared" si="1"/>
        <v>0</v>
      </c>
      <c r="AI150" s="723"/>
      <c r="AJ150" s="723"/>
      <c r="AK150" s="723"/>
      <c r="AL150" s="723"/>
      <c r="AM150" s="723"/>
      <c r="AN150" s="723"/>
      <c r="AO150" s="723"/>
      <c r="AP150" s="723"/>
      <c r="AQ150" s="723"/>
      <c r="AR150" s="723">
        <v>0</v>
      </c>
      <c r="AS150" s="723"/>
      <c r="AT150" s="723"/>
      <c r="AU150" s="723"/>
      <c r="AV150" s="723"/>
      <c r="AW150" s="723"/>
      <c r="AX150" s="723"/>
      <c r="AY150" s="723"/>
      <c r="AZ150" s="723"/>
      <c r="BA150" s="723">
        <f t="shared" si="11"/>
        <v>0</v>
      </c>
      <c r="BB150" s="723"/>
      <c r="BC150" s="723"/>
      <c r="BD150" s="723"/>
      <c r="BE150" s="723"/>
      <c r="BF150" s="723"/>
      <c r="BG150" s="723"/>
      <c r="BH150" s="723"/>
      <c r="BI150" s="723"/>
      <c r="BJ150" s="723">
        <f t="shared" si="2"/>
        <v>0</v>
      </c>
      <c r="BK150" s="723"/>
      <c r="BL150" s="723"/>
      <c r="BM150" s="723"/>
      <c r="BN150" s="723"/>
      <c r="BO150" s="723"/>
      <c r="BP150" s="723"/>
      <c r="BQ150" s="723"/>
      <c r="BR150" s="723">
        <f t="shared" si="29"/>
        <v>0</v>
      </c>
      <c r="BS150" s="723"/>
      <c r="BT150" s="723"/>
      <c r="BU150" s="723"/>
      <c r="BV150" s="723"/>
      <c r="BW150" s="723"/>
      <c r="BX150" s="723"/>
      <c r="BY150" s="723"/>
      <c r="BZ150" s="723"/>
      <c r="CA150" s="723"/>
      <c r="CB150" s="8"/>
      <c r="CC150" s="285">
        <f t="shared" si="3"/>
        <v>0</v>
      </c>
      <c r="CD150" s="285">
        <f t="shared" si="12"/>
        <v>16050.991477709436</v>
      </c>
      <c r="CF150" s="285">
        <f t="shared" si="13"/>
        <v>5131.416755540556</v>
      </c>
      <c r="CG150" s="285">
        <f t="shared" si="14"/>
        <v>2068.6989593252297</v>
      </c>
      <c r="CH150" s="285">
        <f t="shared" si="30"/>
        <v>7200.115714865786</v>
      </c>
      <c r="CI150" s="285">
        <f>CI149*$CG$125</f>
        <v>1788.9650414845642</v>
      </c>
      <c r="CJ150" s="285"/>
      <c r="CK150" s="285">
        <f t="shared" si="35"/>
        <v>361.22224693388284</v>
      </c>
      <c r="CL150" s="285"/>
      <c r="CM150" s="286">
        <f t="shared" si="16"/>
        <v>490.30687099190004</v>
      </c>
      <c r="CN150" s="311">
        <f t="shared" si="17"/>
        <v>720.3505304793208</v>
      </c>
      <c r="CP150" s="285">
        <f t="shared" si="18"/>
        <v>1210.657401471221</v>
      </c>
      <c r="CQ150" s="285">
        <f>CI150</f>
        <v>1788.9650414845642</v>
      </c>
      <c r="CR150" s="285"/>
      <c r="CS150" s="285">
        <f t="shared" si="33"/>
        <v>0.98</v>
      </c>
      <c r="CT150" s="286">
        <f t="shared" si="19"/>
        <v>1753.185740654873</v>
      </c>
      <c r="CU150" s="311"/>
      <c r="CV150" s="312">
        <f t="shared" si="20"/>
        <v>1186.4442534417965</v>
      </c>
      <c r="CW150" s="311">
        <f t="shared" si="21"/>
        <v>2939.629994096669</v>
      </c>
      <c r="CY150" s="285">
        <f t="shared" si="22"/>
        <v>0</v>
      </c>
      <c r="CZ150" s="285">
        <f t="shared" si="4"/>
        <v>0</v>
      </c>
      <c r="DA150" s="285">
        <f t="shared" si="23"/>
        <v>0</v>
      </c>
      <c r="DB150" s="3">
        <f t="shared" si="5"/>
        <v>0</v>
      </c>
      <c r="DC150" s="3">
        <f t="shared" si="6"/>
        <v>0</v>
      </c>
      <c r="DD150" s="3">
        <v>21</v>
      </c>
      <c r="DE150" s="285">
        <f t="shared" si="36"/>
        <v>424.37253891964275</v>
      </c>
      <c r="DF150" s="285">
        <f>CI130</f>
        <v>674.242109362993</v>
      </c>
      <c r="DH150" s="286">
        <f t="shared" si="7"/>
        <v>415.88508814124987</v>
      </c>
      <c r="DI150" s="286">
        <f t="shared" si="8"/>
        <v>660.7572671757331</v>
      </c>
      <c r="DK150" s="286">
        <f t="shared" si="24"/>
        <v>1076.642355316983</v>
      </c>
      <c r="DL150" s="3">
        <f t="shared" si="25"/>
        <v>0</v>
      </c>
    </row>
    <row r="151" spans="1:116" ht="15" customHeight="1">
      <c r="A151" s="3">
        <f t="shared" si="26"/>
        <v>0</v>
      </c>
      <c r="B151" s="689">
        <v>22</v>
      </c>
      <c r="C151" s="689"/>
      <c r="D151" s="726">
        <f t="shared" si="9"/>
        <v>0</v>
      </c>
      <c r="E151" s="726"/>
      <c r="F151" s="726"/>
      <c r="G151" s="726"/>
      <c r="H151" s="726"/>
      <c r="I151" s="726"/>
      <c r="J151" s="726"/>
      <c r="K151" s="726"/>
      <c r="L151" s="726"/>
      <c r="M151" s="726">
        <f t="shared" si="10"/>
        <v>0</v>
      </c>
      <c r="N151" s="726"/>
      <c r="O151" s="726"/>
      <c r="P151" s="726"/>
      <c r="Q151" s="726"/>
      <c r="R151" s="726"/>
      <c r="S151" s="726"/>
      <c r="T151" s="726"/>
      <c r="U151" s="726"/>
      <c r="V151" s="726"/>
      <c r="W151" s="723">
        <f t="shared" si="27"/>
        <v>0</v>
      </c>
      <c r="X151" s="723"/>
      <c r="Y151" s="723"/>
      <c r="Z151" s="723"/>
      <c r="AA151" s="723"/>
      <c r="AB151" s="723"/>
      <c r="AC151" s="723"/>
      <c r="AD151" s="723"/>
      <c r="AE151" s="723"/>
      <c r="AF151" s="723"/>
      <c r="AG151" s="723"/>
      <c r="AH151" s="723">
        <f t="shared" si="1"/>
        <v>0</v>
      </c>
      <c r="AI151" s="723"/>
      <c r="AJ151" s="723"/>
      <c r="AK151" s="723"/>
      <c r="AL151" s="723"/>
      <c r="AM151" s="723"/>
      <c r="AN151" s="723"/>
      <c r="AO151" s="723"/>
      <c r="AP151" s="723"/>
      <c r="AQ151" s="723"/>
      <c r="AR151" s="723">
        <v>0</v>
      </c>
      <c r="AS151" s="723"/>
      <c r="AT151" s="723"/>
      <c r="AU151" s="723"/>
      <c r="AV151" s="723"/>
      <c r="AW151" s="723"/>
      <c r="AX151" s="723"/>
      <c r="AY151" s="723"/>
      <c r="AZ151" s="723"/>
      <c r="BA151" s="723">
        <f t="shared" si="11"/>
        <v>0</v>
      </c>
      <c r="BB151" s="723"/>
      <c r="BC151" s="723"/>
      <c r="BD151" s="723"/>
      <c r="BE151" s="723"/>
      <c r="BF151" s="723"/>
      <c r="BG151" s="723"/>
      <c r="BH151" s="723"/>
      <c r="BI151" s="723"/>
      <c r="BJ151" s="723">
        <f t="shared" si="2"/>
        <v>0</v>
      </c>
      <c r="BK151" s="723"/>
      <c r="BL151" s="723"/>
      <c r="BM151" s="723"/>
      <c r="BN151" s="723"/>
      <c r="BO151" s="723"/>
      <c r="BP151" s="723"/>
      <c r="BQ151" s="723"/>
      <c r="BR151" s="723">
        <f t="shared" si="29"/>
        <v>0</v>
      </c>
      <c r="BS151" s="723"/>
      <c r="BT151" s="723"/>
      <c r="BU151" s="723"/>
      <c r="BV151" s="723"/>
      <c r="BW151" s="723"/>
      <c r="BX151" s="723"/>
      <c r="BY151" s="723"/>
      <c r="BZ151" s="723"/>
      <c r="CA151" s="723"/>
      <c r="CB151" s="8"/>
      <c r="CC151" s="285">
        <f t="shared" si="3"/>
        <v>0</v>
      </c>
      <c r="CD151" s="285">
        <f t="shared" si="12"/>
        <v>16050.991477709436</v>
      </c>
      <c r="CF151" s="285">
        <f t="shared" si="13"/>
        <v>5439.30176087299</v>
      </c>
      <c r="CG151" s="285">
        <f t="shared" si="14"/>
        <v>2172.133907291491</v>
      </c>
      <c r="CH151" s="285">
        <f t="shared" si="30"/>
        <v>7611.43566816448</v>
      </c>
      <c r="CI151" s="285">
        <f t="shared" si="31"/>
        <v>1878.4132935587925</v>
      </c>
      <c r="CJ151" s="285"/>
      <c r="CK151" s="285">
        <f t="shared" si="35"/>
        <v>372.0589143418993</v>
      </c>
      <c r="CL151" s="285"/>
      <c r="CM151" s="286">
        <f t="shared" si="16"/>
        <v>519.7252832514141</v>
      </c>
      <c r="CN151" s="311">
        <f t="shared" si="17"/>
        <v>756.3680570032869</v>
      </c>
      <c r="CP151" s="285">
        <f t="shared" si="18"/>
        <v>1276.0933402547012</v>
      </c>
      <c r="CQ151" s="285">
        <f>CI151</f>
        <v>1878.4132935587925</v>
      </c>
      <c r="CR151" s="285"/>
      <c r="CS151" s="285">
        <f t="shared" si="33"/>
        <v>0.978</v>
      </c>
      <c r="CT151" s="286">
        <f t="shared" si="19"/>
        <v>1837.088201100499</v>
      </c>
      <c r="CU151" s="311"/>
      <c r="CV151" s="312">
        <f t="shared" si="20"/>
        <v>1248.0192867690978</v>
      </c>
      <c r="CW151" s="311">
        <f t="shared" si="21"/>
        <v>3085.1074878695968</v>
      </c>
      <c r="CY151" s="285">
        <f t="shared" si="22"/>
        <v>0</v>
      </c>
      <c r="CZ151" s="285">
        <f t="shared" si="4"/>
        <v>0</v>
      </c>
      <c r="DA151" s="285">
        <f t="shared" si="23"/>
        <v>0</v>
      </c>
      <c r="DB151" s="3">
        <f t="shared" si="5"/>
        <v>0</v>
      </c>
      <c r="DC151" s="3">
        <f t="shared" si="6"/>
        <v>0</v>
      </c>
      <c r="DD151" s="3">
        <v>22</v>
      </c>
      <c r="DE151" s="285">
        <f t="shared" si="36"/>
        <v>424.37253891964275</v>
      </c>
      <c r="DF151" s="285">
        <f>DF150</f>
        <v>674.242109362993</v>
      </c>
      <c r="DH151" s="286">
        <f t="shared" si="7"/>
        <v>415.0363430634106</v>
      </c>
      <c r="DI151" s="286">
        <f t="shared" si="8"/>
        <v>659.4087829570071</v>
      </c>
      <c r="DK151" s="286">
        <f t="shared" si="24"/>
        <v>1074.4451260204178</v>
      </c>
      <c r="DL151" s="3">
        <f t="shared" si="25"/>
        <v>0</v>
      </c>
    </row>
    <row r="152" spans="1:116" ht="15">
      <c r="A152" s="3">
        <f t="shared" si="26"/>
        <v>0</v>
      </c>
      <c r="B152" s="689">
        <v>23</v>
      </c>
      <c r="C152" s="689"/>
      <c r="D152" s="726">
        <f t="shared" si="9"/>
        <v>0</v>
      </c>
      <c r="E152" s="726"/>
      <c r="F152" s="726"/>
      <c r="G152" s="726"/>
      <c r="H152" s="726"/>
      <c r="I152" s="726"/>
      <c r="J152" s="726"/>
      <c r="K152" s="726"/>
      <c r="L152" s="726"/>
      <c r="M152" s="726">
        <f t="shared" si="10"/>
        <v>0</v>
      </c>
      <c r="N152" s="726"/>
      <c r="O152" s="726"/>
      <c r="P152" s="726"/>
      <c r="Q152" s="726"/>
      <c r="R152" s="726"/>
      <c r="S152" s="726"/>
      <c r="T152" s="726"/>
      <c r="U152" s="726"/>
      <c r="V152" s="726"/>
      <c r="W152" s="723">
        <f t="shared" si="27"/>
        <v>0</v>
      </c>
      <c r="X152" s="723"/>
      <c r="Y152" s="723"/>
      <c r="Z152" s="723"/>
      <c r="AA152" s="723"/>
      <c r="AB152" s="723"/>
      <c r="AC152" s="723"/>
      <c r="AD152" s="723"/>
      <c r="AE152" s="723"/>
      <c r="AF152" s="723"/>
      <c r="AG152" s="723"/>
      <c r="AH152" s="723">
        <f t="shared" si="1"/>
        <v>0</v>
      </c>
      <c r="AI152" s="723"/>
      <c r="AJ152" s="723"/>
      <c r="AK152" s="723"/>
      <c r="AL152" s="723"/>
      <c r="AM152" s="723"/>
      <c r="AN152" s="723"/>
      <c r="AO152" s="723"/>
      <c r="AP152" s="723"/>
      <c r="AQ152" s="723"/>
      <c r="AR152" s="723">
        <v>0</v>
      </c>
      <c r="AS152" s="723"/>
      <c r="AT152" s="723"/>
      <c r="AU152" s="723"/>
      <c r="AV152" s="723"/>
      <c r="AW152" s="723"/>
      <c r="AX152" s="723"/>
      <c r="AY152" s="723"/>
      <c r="AZ152" s="723"/>
      <c r="BA152" s="723">
        <f t="shared" si="11"/>
        <v>0</v>
      </c>
      <c r="BB152" s="723"/>
      <c r="BC152" s="723"/>
      <c r="BD152" s="723"/>
      <c r="BE152" s="723"/>
      <c r="BF152" s="723"/>
      <c r="BG152" s="723"/>
      <c r="BH152" s="723"/>
      <c r="BI152" s="723"/>
      <c r="BJ152" s="723">
        <f t="shared" si="2"/>
        <v>0</v>
      </c>
      <c r="BK152" s="723"/>
      <c r="BL152" s="723"/>
      <c r="BM152" s="723"/>
      <c r="BN152" s="723"/>
      <c r="BO152" s="723"/>
      <c r="BP152" s="723"/>
      <c r="BQ152" s="723"/>
      <c r="BR152" s="723">
        <f t="shared" si="29"/>
        <v>0</v>
      </c>
      <c r="BS152" s="723"/>
      <c r="BT152" s="723"/>
      <c r="BU152" s="723"/>
      <c r="BV152" s="723"/>
      <c r="BW152" s="723"/>
      <c r="BX152" s="723"/>
      <c r="BY152" s="723"/>
      <c r="BZ152" s="723"/>
      <c r="CA152" s="723"/>
      <c r="CB152" s="8"/>
      <c r="CC152" s="285">
        <f t="shared" si="3"/>
        <v>0</v>
      </c>
      <c r="CD152" s="285">
        <f t="shared" si="12"/>
        <v>16050.991477709436</v>
      </c>
      <c r="CF152" s="285">
        <f t="shared" si="13"/>
        <v>5765.65986652537</v>
      </c>
      <c r="CG152" s="285">
        <f t="shared" si="14"/>
        <v>2280.7406026560657</v>
      </c>
      <c r="CH152" s="285">
        <f t="shared" si="30"/>
        <v>8046.400469181435</v>
      </c>
      <c r="CI152" s="285">
        <f t="shared" si="31"/>
        <v>1972.333958236732</v>
      </c>
      <c r="CJ152" s="285"/>
      <c r="CK152" s="285">
        <f t="shared" si="35"/>
        <v>383.2206817721563</v>
      </c>
      <c r="CL152" s="285"/>
      <c r="CM152" s="286">
        <f t="shared" si="16"/>
        <v>550.908800246499</v>
      </c>
      <c r="CN152" s="311">
        <f t="shared" si="17"/>
        <v>794.1864598534513</v>
      </c>
      <c r="CP152" s="285">
        <f t="shared" si="18"/>
        <v>1345.0952600999503</v>
      </c>
      <c r="CQ152" s="285">
        <f>CI152</f>
        <v>1972.333958236732</v>
      </c>
      <c r="CR152" s="285"/>
      <c r="CS152" s="285">
        <f t="shared" si="33"/>
        <v>0.976</v>
      </c>
      <c r="CT152" s="286">
        <f t="shared" si="19"/>
        <v>1924.9979432390505</v>
      </c>
      <c r="CU152" s="311"/>
      <c r="CV152" s="312">
        <f t="shared" si="20"/>
        <v>1312.8129738575515</v>
      </c>
      <c r="CW152" s="311">
        <f t="shared" si="21"/>
        <v>3237.8109170966018</v>
      </c>
      <c r="CY152" s="285">
        <f t="shared" si="22"/>
        <v>0</v>
      </c>
      <c r="CZ152" s="285">
        <f t="shared" si="4"/>
        <v>0</v>
      </c>
      <c r="DA152" s="285">
        <f t="shared" si="23"/>
        <v>0</v>
      </c>
      <c r="DB152" s="3">
        <f t="shared" si="5"/>
        <v>0</v>
      </c>
      <c r="DC152" s="3">
        <f t="shared" si="6"/>
        <v>0</v>
      </c>
      <c r="DD152" s="3">
        <v>23</v>
      </c>
      <c r="DE152" s="285">
        <f t="shared" si="36"/>
        <v>424.37253891964275</v>
      </c>
      <c r="DF152" s="285">
        <f t="shared" si="36"/>
        <v>674.242109362993</v>
      </c>
      <c r="DH152" s="286">
        <f t="shared" si="7"/>
        <v>414.1875979855713</v>
      </c>
      <c r="DI152" s="286">
        <f t="shared" si="8"/>
        <v>658.0602987382812</v>
      </c>
      <c r="DK152" s="286">
        <f t="shared" si="24"/>
        <v>1072.2478967238526</v>
      </c>
      <c r="DL152" s="3">
        <f t="shared" si="25"/>
        <v>0</v>
      </c>
    </row>
    <row r="153" spans="1:116" ht="15">
      <c r="A153" s="3">
        <f t="shared" si="26"/>
        <v>0</v>
      </c>
      <c r="B153" s="689">
        <v>24</v>
      </c>
      <c r="C153" s="689"/>
      <c r="D153" s="726">
        <f t="shared" si="9"/>
        <v>0</v>
      </c>
      <c r="E153" s="726"/>
      <c r="F153" s="726"/>
      <c r="G153" s="726"/>
      <c r="H153" s="726"/>
      <c r="I153" s="726"/>
      <c r="J153" s="726"/>
      <c r="K153" s="726"/>
      <c r="L153" s="726"/>
      <c r="M153" s="726">
        <f t="shared" si="10"/>
        <v>0</v>
      </c>
      <c r="N153" s="726"/>
      <c r="O153" s="726"/>
      <c r="P153" s="726"/>
      <c r="Q153" s="726"/>
      <c r="R153" s="726"/>
      <c r="S153" s="726"/>
      <c r="T153" s="726"/>
      <c r="U153" s="726"/>
      <c r="V153" s="726"/>
      <c r="W153" s="723">
        <f t="shared" si="27"/>
        <v>0</v>
      </c>
      <c r="X153" s="723"/>
      <c r="Y153" s="723"/>
      <c r="Z153" s="723"/>
      <c r="AA153" s="723"/>
      <c r="AB153" s="723"/>
      <c r="AC153" s="723"/>
      <c r="AD153" s="723"/>
      <c r="AE153" s="723"/>
      <c r="AF153" s="723"/>
      <c r="AG153" s="723"/>
      <c r="AH153" s="723">
        <f t="shared" si="1"/>
        <v>0</v>
      </c>
      <c r="AI153" s="723"/>
      <c r="AJ153" s="723"/>
      <c r="AK153" s="723"/>
      <c r="AL153" s="723"/>
      <c r="AM153" s="723"/>
      <c r="AN153" s="723"/>
      <c r="AO153" s="723"/>
      <c r="AP153" s="723"/>
      <c r="AQ153" s="723"/>
      <c r="AR153" s="723">
        <v>0</v>
      </c>
      <c r="AS153" s="723"/>
      <c r="AT153" s="723"/>
      <c r="AU153" s="723"/>
      <c r="AV153" s="723"/>
      <c r="AW153" s="723"/>
      <c r="AX153" s="723"/>
      <c r="AY153" s="723"/>
      <c r="AZ153" s="723"/>
      <c r="BA153" s="723">
        <f t="shared" si="11"/>
        <v>0</v>
      </c>
      <c r="BB153" s="723"/>
      <c r="BC153" s="723"/>
      <c r="BD153" s="723"/>
      <c r="BE153" s="723"/>
      <c r="BF153" s="723"/>
      <c r="BG153" s="723"/>
      <c r="BH153" s="723"/>
      <c r="BI153" s="723"/>
      <c r="BJ153" s="723">
        <f t="shared" si="2"/>
        <v>0</v>
      </c>
      <c r="BK153" s="723"/>
      <c r="BL153" s="723"/>
      <c r="BM153" s="723"/>
      <c r="BN153" s="723"/>
      <c r="BO153" s="723"/>
      <c r="BP153" s="723"/>
      <c r="BQ153" s="723"/>
      <c r="BR153" s="723">
        <f t="shared" si="29"/>
        <v>0</v>
      </c>
      <c r="BS153" s="723"/>
      <c r="BT153" s="723"/>
      <c r="BU153" s="723"/>
      <c r="BV153" s="723"/>
      <c r="BW153" s="723"/>
      <c r="BX153" s="723"/>
      <c r="BY153" s="723"/>
      <c r="BZ153" s="723"/>
      <c r="CA153" s="723"/>
      <c r="CB153" s="8"/>
      <c r="CC153" s="285">
        <f t="shared" si="3"/>
        <v>0</v>
      </c>
      <c r="CD153" s="285">
        <f t="shared" si="12"/>
        <v>16050.991477709436</v>
      </c>
      <c r="CF153" s="285">
        <f t="shared" si="13"/>
        <v>6111.599458516892</v>
      </c>
      <c r="CG153" s="285">
        <f t="shared" si="14"/>
        <v>2394.777632788869</v>
      </c>
      <c r="CH153" s="285">
        <f t="shared" si="30"/>
        <v>8506.377091305761</v>
      </c>
      <c r="CI153" s="285">
        <f t="shared" si="31"/>
        <v>2070.9506561485687</v>
      </c>
      <c r="CJ153" s="285"/>
      <c r="CK153" s="285">
        <f t="shared" si="35"/>
        <v>394.717302225321</v>
      </c>
      <c r="CL153" s="285"/>
      <c r="CM153" s="286">
        <f t="shared" si="16"/>
        <v>583.963328261289</v>
      </c>
      <c r="CN153" s="311">
        <f t="shared" si="17"/>
        <v>833.8957828461239</v>
      </c>
      <c r="CP153" s="285">
        <f t="shared" si="18"/>
        <v>1417.859111107413</v>
      </c>
      <c r="CQ153" s="285">
        <f>CI153</f>
        <v>2070.9506561485687</v>
      </c>
      <c r="CR153" s="285"/>
      <c r="CS153" s="285">
        <f t="shared" si="33"/>
        <v>0.974</v>
      </c>
      <c r="CT153" s="286">
        <f t="shared" si="19"/>
        <v>2017.1059390887058</v>
      </c>
      <c r="CU153" s="311"/>
      <c r="CV153" s="312">
        <f t="shared" si="20"/>
        <v>1380.99477421862</v>
      </c>
      <c r="CW153" s="311">
        <f t="shared" si="21"/>
        <v>3398.100713307326</v>
      </c>
      <c r="CY153" s="285">
        <f t="shared" si="22"/>
        <v>0</v>
      </c>
      <c r="CZ153" s="285">
        <f t="shared" si="4"/>
        <v>0</v>
      </c>
      <c r="DA153" s="285">
        <f t="shared" si="23"/>
        <v>0</v>
      </c>
      <c r="DB153" s="3">
        <f t="shared" si="5"/>
        <v>0</v>
      </c>
      <c r="DC153" s="3">
        <f t="shared" si="6"/>
        <v>0</v>
      </c>
      <c r="DD153" s="3">
        <v>24</v>
      </c>
      <c r="DE153" s="285">
        <f t="shared" si="36"/>
        <v>424.37253891964275</v>
      </c>
      <c r="DF153" s="285">
        <f t="shared" si="36"/>
        <v>674.242109362993</v>
      </c>
      <c r="DH153" s="286">
        <f t="shared" si="7"/>
        <v>413.338852907732</v>
      </c>
      <c r="DI153" s="286">
        <f t="shared" si="8"/>
        <v>656.7118145195552</v>
      </c>
      <c r="DK153" s="286">
        <f t="shared" si="24"/>
        <v>1070.0506674272872</v>
      </c>
      <c r="DL153" s="3">
        <f t="shared" si="25"/>
        <v>0</v>
      </c>
    </row>
    <row r="154" spans="1:116" ht="15">
      <c r="A154" s="3">
        <f>IF(D154=0,0,1)</f>
        <v>0</v>
      </c>
      <c r="B154" s="689">
        <v>25</v>
      </c>
      <c r="C154" s="689"/>
      <c r="D154" s="726">
        <f t="shared" si="9"/>
        <v>0</v>
      </c>
      <c r="E154" s="726"/>
      <c r="F154" s="726"/>
      <c r="G154" s="726"/>
      <c r="H154" s="726"/>
      <c r="I154" s="726"/>
      <c r="J154" s="726"/>
      <c r="K154" s="726"/>
      <c r="L154" s="726"/>
      <c r="M154" s="726">
        <f t="shared" si="10"/>
        <v>0</v>
      </c>
      <c r="N154" s="726"/>
      <c r="O154" s="726"/>
      <c r="P154" s="726"/>
      <c r="Q154" s="726"/>
      <c r="R154" s="726"/>
      <c r="S154" s="726"/>
      <c r="T154" s="726"/>
      <c r="U154" s="726"/>
      <c r="V154" s="726"/>
      <c r="W154" s="723">
        <f t="shared" si="27"/>
        <v>0</v>
      </c>
      <c r="X154" s="723"/>
      <c r="Y154" s="723"/>
      <c r="Z154" s="723"/>
      <c r="AA154" s="723"/>
      <c r="AB154" s="723"/>
      <c r="AC154" s="723"/>
      <c r="AD154" s="723"/>
      <c r="AE154" s="723"/>
      <c r="AF154" s="723"/>
      <c r="AG154" s="723"/>
      <c r="AH154" s="723">
        <f t="shared" si="1"/>
        <v>0</v>
      </c>
      <c r="AI154" s="723"/>
      <c r="AJ154" s="723"/>
      <c r="AK154" s="723"/>
      <c r="AL154" s="723"/>
      <c r="AM154" s="723"/>
      <c r="AN154" s="723"/>
      <c r="AO154" s="723"/>
      <c r="AP154" s="723"/>
      <c r="AQ154" s="723"/>
      <c r="AR154" s="723">
        <v>0</v>
      </c>
      <c r="AS154" s="723"/>
      <c r="AT154" s="723"/>
      <c r="AU154" s="723"/>
      <c r="AV154" s="723"/>
      <c r="AW154" s="723"/>
      <c r="AX154" s="723"/>
      <c r="AY154" s="723"/>
      <c r="AZ154" s="723"/>
      <c r="BA154" s="723">
        <f t="shared" si="11"/>
        <v>0</v>
      </c>
      <c r="BB154" s="723"/>
      <c r="BC154" s="723"/>
      <c r="BD154" s="723"/>
      <c r="BE154" s="723"/>
      <c r="BF154" s="723"/>
      <c r="BG154" s="723"/>
      <c r="BH154" s="723"/>
      <c r="BI154" s="723"/>
      <c r="BJ154" s="723">
        <f t="shared" si="2"/>
        <v>0</v>
      </c>
      <c r="BK154" s="723"/>
      <c r="BL154" s="723"/>
      <c r="BM154" s="723"/>
      <c r="BN154" s="723"/>
      <c r="BO154" s="723"/>
      <c r="BP154" s="723"/>
      <c r="BQ154" s="723"/>
      <c r="BR154" s="723">
        <f t="shared" si="29"/>
        <v>0</v>
      </c>
      <c r="BS154" s="723"/>
      <c r="BT154" s="723"/>
      <c r="BU154" s="723"/>
      <c r="BV154" s="723"/>
      <c r="BW154" s="723"/>
      <c r="BX154" s="723"/>
      <c r="BY154" s="723"/>
      <c r="BZ154" s="723"/>
      <c r="CA154" s="723"/>
      <c r="CB154" s="8"/>
      <c r="CC154" s="285">
        <f t="shared" si="3"/>
        <v>0</v>
      </c>
      <c r="CD154" s="285">
        <f t="shared" si="12"/>
        <v>16050.991477709436</v>
      </c>
      <c r="CF154" s="285">
        <f t="shared" si="13"/>
        <v>6478.295426027906</v>
      </c>
      <c r="CG154" s="285">
        <f t="shared" si="14"/>
        <v>2514.516514428313</v>
      </c>
      <c r="CH154" s="285">
        <f t="shared" si="30"/>
        <v>8992.811940456219</v>
      </c>
      <c r="CI154" s="285">
        <f t="shared" si="31"/>
        <v>2174.498188955997</v>
      </c>
      <c r="CK154" s="285">
        <f t="shared" si="35"/>
        <v>406.55882129208067</v>
      </c>
      <c r="CM154" s="286">
        <f t="shared" si="16"/>
        <v>619.0011279569663</v>
      </c>
      <c r="CN154" s="311">
        <f t="shared" si="17"/>
        <v>875.5905719884302</v>
      </c>
      <c r="CP154" s="285">
        <f t="shared" si="18"/>
        <v>1494.5916999453966</v>
      </c>
      <c r="CQ154" s="285">
        <f>CI154</f>
        <v>2174.498188955997</v>
      </c>
      <c r="CS154" s="285">
        <f t="shared" si="33"/>
        <v>0.972</v>
      </c>
      <c r="CT154" s="286">
        <f t="shared" si="19"/>
        <v>2113.612239665229</v>
      </c>
      <c r="CU154" s="286"/>
      <c r="CV154" s="312">
        <f t="shared" si="20"/>
        <v>1452.7431323469254</v>
      </c>
      <c r="CW154" s="311">
        <f t="shared" si="21"/>
        <v>3566.3553720121545</v>
      </c>
      <c r="CY154" s="285">
        <f t="shared" si="22"/>
        <v>0</v>
      </c>
      <c r="CZ154" s="285">
        <f t="shared" si="4"/>
        <v>0</v>
      </c>
      <c r="DA154" s="285">
        <f t="shared" si="23"/>
        <v>0</v>
      </c>
      <c r="DB154" s="3">
        <f t="shared" si="5"/>
        <v>0</v>
      </c>
      <c r="DC154" s="3">
        <f t="shared" si="6"/>
        <v>0</v>
      </c>
      <c r="DD154" s="3">
        <v>25</v>
      </c>
      <c r="DE154" s="285">
        <f t="shared" si="36"/>
        <v>424.37253891964275</v>
      </c>
      <c r="DF154" s="285">
        <f t="shared" si="36"/>
        <v>674.242109362993</v>
      </c>
      <c r="DH154" s="286">
        <f t="shared" si="7"/>
        <v>412.49010782989274</v>
      </c>
      <c r="DI154" s="286">
        <f t="shared" si="8"/>
        <v>655.3633303008291</v>
      </c>
      <c r="DK154" s="286">
        <f t="shared" si="24"/>
        <v>1067.8534381307218</v>
      </c>
      <c r="DL154" s="3">
        <f t="shared" si="25"/>
        <v>0</v>
      </c>
    </row>
    <row r="155" spans="1:116" ht="15">
      <c r="A155" s="3">
        <v>1</v>
      </c>
      <c r="B155" s="728" t="s">
        <v>795</v>
      </c>
      <c r="C155" s="728"/>
      <c r="D155" s="727">
        <f>SUM(D130:D154)</f>
        <v>84637.50749218046</v>
      </c>
      <c r="E155" s="727"/>
      <c r="F155" s="727"/>
      <c r="G155" s="727"/>
      <c r="H155" s="727"/>
      <c r="I155" s="727"/>
      <c r="J155" s="727"/>
      <c r="K155" s="727"/>
      <c r="L155" s="727"/>
      <c r="M155" s="727">
        <f>SUM(M130:M154)</f>
        <v>22953.799491604426</v>
      </c>
      <c r="N155" s="727"/>
      <c r="O155" s="727"/>
      <c r="P155" s="727"/>
      <c r="Q155" s="727"/>
      <c r="R155" s="727"/>
      <c r="S155" s="727"/>
      <c r="T155" s="727"/>
      <c r="U155" s="727"/>
      <c r="V155" s="727"/>
      <c r="W155" s="725">
        <f>SUM(W130:W154)</f>
        <v>5826.6294631171695</v>
      </c>
      <c r="X155" s="725"/>
      <c r="Y155" s="725"/>
      <c r="Z155" s="725"/>
      <c r="AA155" s="725"/>
      <c r="AB155" s="725"/>
      <c r="AC155" s="725"/>
      <c r="AD155" s="725"/>
      <c r="AE155" s="725"/>
      <c r="AF155" s="725"/>
      <c r="AG155" s="725"/>
      <c r="AH155" s="725">
        <f>SUM(AH130:AH154)</f>
        <v>36811.09885609264</v>
      </c>
      <c r="AI155" s="725"/>
      <c r="AJ155" s="725"/>
      <c r="AK155" s="725"/>
      <c r="AL155" s="725"/>
      <c r="AM155" s="725"/>
      <c r="AN155" s="725"/>
      <c r="AO155" s="725"/>
      <c r="AP155" s="725"/>
      <c r="AQ155" s="725"/>
      <c r="AR155" s="725">
        <f>SUM(AR130:AR154)</f>
        <v>8020.3215763384</v>
      </c>
      <c r="AS155" s="725"/>
      <c r="AT155" s="725"/>
      <c r="AU155" s="725"/>
      <c r="AV155" s="725"/>
      <c r="AW155" s="725"/>
      <c r="AX155" s="725"/>
      <c r="AY155" s="725"/>
      <c r="AZ155" s="725"/>
      <c r="BA155" s="725">
        <f>SUM(BA130:BA154)</f>
        <v>16050.991477709436</v>
      </c>
      <c r="BB155" s="725"/>
      <c r="BC155" s="725"/>
      <c r="BD155" s="725"/>
      <c r="BE155" s="725"/>
      <c r="BF155" s="725"/>
      <c r="BG155" s="725"/>
      <c r="BH155" s="725"/>
      <c r="BI155" s="725"/>
      <c r="BJ155" s="724"/>
      <c r="BK155" s="724"/>
      <c r="BL155" s="724"/>
      <c r="BM155" s="724"/>
      <c r="BN155" s="724"/>
      <c r="BO155" s="724"/>
      <c r="BP155" s="724"/>
      <c r="BQ155" s="724"/>
      <c r="BR155" s="725">
        <f>SUM(BR130:BR154)</f>
        <v>68586.51601447102</v>
      </c>
      <c r="BS155" s="725"/>
      <c r="BT155" s="725"/>
      <c r="BU155" s="725"/>
      <c r="BV155" s="725"/>
      <c r="BW155" s="725"/>
      <c r="BX155" s="725"/>
      <c r="BY155" s="725"/>
      <c r="BZ155" s="725"/>
      <c r="CA155" s="725"/>
      <c r="CC155" s="285">
        <f>SUM(CC130:CC154)</f>
        <v>21994.265258618365</v>
      </c>
      <c r="CF155" s="285">
        <f>SUM(CF130:CF154)</f>
        <v>87783.2191931596</v>
      </c>
      <c r="CG155" s="285">
        <f>SUM(CG130:CG154)</f>
        <v>37211.42918299456</v>
      </c>
      <c r="CH155" s="285">
        <f t="shared" si="30"/>
        <v>124994.64837615416</v>
      </c>
      <c r="CM155" s="286">
        <f>SUM(CM130:CM154)</f>
        <v>8387.686593906397</v>
      </c>
      <c r="CN155" s="286">
        <f>SUM(CN130:CN154)</f>
        <v>12957.551233364171</v>
      </c>
      <c r="CP155" s="6">
        <f>SUM(CP130:CP154)</f>
        <v>21345.23782727057</v>
      </c>
      <c r="CQ155" s="6">
        <f>SUM(CQ130:CQ154)</f>
        <v>32179.619780816054</v>
      </c>
      <c r="CT155" s="286">
        <f>SUM(CT130:CT154)</f>
        <v>31891.533108822852</v>
      </c>
      <c r="CU155" s="286"/>
      <c r="CV155" s="312">
        <f>SUM(CV130:CV154)</f>
        <v>21146.570231652127</v>
      </c>
      <c r="CW155" s="311">
        <f>SUM(CW130:CW154)</f>
        <v>53038.10334047499</v>
      </c>
      <c r="CY155" s="6"/>
      <c r="DE155" s="285"/>
      <c r="DF155" s="6"/>
      <c r="DK155" s="286">
        <f>SUM(DK130:DK154)</f>
        <v>27355.50474223763</v>
      </c>
      <c r="DL155" s="3">
        <f>SUM(DL130:DL154)</f>
        <v>304.3056360454509</v>
      </c>
    </row>
    <row r="156" spans="1:103" ht="15">
      <c r="A156" s="8">
        <v>1</v>
      </c>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CC156" s="285">
        <f>AH155-CC155</f>
        <v>14816.833597474277</v>
      </c>
      <c r="CD156" s="3" t="s">
        <v>826</v>
      </c>
      <c r="CF156" s="285">
        <v>66633.45325949683</v>
      </c>
      <c r="CG156" s="285">
        <v>26336.971767953306</v>
      </c>
      <c r="CM156" s="286"/>
      <c r="CN156" s="286"/>
      <c r="CP156" s="3">
        <v>9602.020957066305</v>
      </c>
      <c r="CQ156" s="3">
        <v>30732.22</v>
      </c>
      <c r="CY156" s="6"/>
    </row>
    <row r="157" spans="1:116" ht="15" customHeight="1">
      <c r="A157" s="8">
        <v>1</v>
      </c>
      <c r="B157" s="277"/>
      <c r="C157" s="677" t="s">
        <v>896</v>
      </c>
      <c r="D157" s="656"/>
      <c r="E157" s="656"/>
      <c r="F157" s="656"/>
      <c r="G157" s="656"/>
      <c r="H157" s="656"/>
      <c r="I157" s="656"/>
      <c r="J157" s="656"/>
      <c r="K157" s="656"/>
      <c r="L157" s="656"/>
      <c r="M157" s="656"/>
      <c r="N157" s="656"/>
      <c r="O157" s="656"/>
      <c r="P157" s="656"/>
      <c r="Q157" s="656"/>
      <c r="R157" s="656"/>
      <c r="S157" s="656"/>
      <c r="T157" s="656"/>
      <c r="U157" s="656"/>
      <c r="V157" s="656"/>
      <c r="W157" s="656"/>
      <c r="X157" s="656"/>
      <c r="Y157" s="656"/>
      <c r="Z157" s="656"/>
      <c r="AA157" s="656"/>
      <c r="AB157" s="656"/>
      <c r="AC157" s="656"/>
      <c r="AD157" s="656"/>
      <c r="AE157" s="656"/>
      <c r="AF157" s="656"/>
      <c r="AG157" s="656"/>
      <c r="AH157" s="656"/>
      <c r="AI157" s="656"/>
      <c r="AJ157" s="656"/>
      <c r="AK157" s="656"/>
      <c r="AL157" s="656"/>
      <c r="AM157" s="656"/>
      <c r="AN157" s="656"/>
      <c r="AO157" s="656"/>
      <c r="AP157" s="656"/>
      <c r="AQ157" s="656"/>
      <c r="AR157" s="656"/>
      <c r="AS157" s="656"/>
      <c r="AT157" s="656"/>
      <c r="AU157" s="656"/>
      <c r="AV157" s="656"/>
      <c r="AW157" s="656"/>
      <c r="AX157" s="656"/>
      <c r="AY157" s="656"/>
      <c r="AZ157" s="656"/>
      <c r="BA157" s="656"/>
      <c r="BB157" s="656"/>
      <c r="BC157" s="656"/>
      <c r="BD157" s="656"/>
      <c r="BE157" s="656"/>
      <c r="BF157" s="656"/>
      <c r="BG157" s="656"/>
      <c r="BH157" s="656"/>
      <c r="BI157" s="656"/>
      <c r="BJ157" s="656"/>
      <c r="BK157" s="656"/>
      <c r="BL157" s="656"/>
      <c r="BM157" s="656"/>
      <c r="BN157" s="656"/>
      <c r="BO157" s="656"/>
      <c r="BP157" s="656"/>
      <c r="BQ157" s="656"/>
      <c r="BR157" s="656"/>
      <c r="BS157" s="656"/>
      <c r="BT157" s="656"/>
      <c r="BU157" s="656"/>
      <c r="BV157" s="656"/>
      <c r="BW157" s="656"/>
      <c r="BX157" s="656"/>
      <c r="BY157" s="656"/>
      <c r="BZ157" s="656"/>
      <c r="CA157" s="656"/>
      <c r="CC157" s="285"/>
      <c r="CF157" s="285"/>
      <c r="CG157" s="285"/>
      <c r="CP157" s="6"/>
      <c r="CY157" s="6"/>
      <c r="DL157" s="3">
        <f>IF(DL155&lt;BJ130,BJ130,DL155)</f>
        <v>304.3056360454509</v>
      </c>
    </row>
    <row r="158" spans="1:106" ht="15">
      <c r="A158" s="8">
        <v>1</v>
      </c>
      <c r="B158" s="277"/>
      <c r="C158" s="656"/>
      <c r="D158" s="656"/>
      <c r="E158" s="656"/>
      <c r="F158" s="656"/>
      <c r="G158" s="656"/>
      <c r="H158" s="656"/>
      <c r="I158" s="656"/>
      <c r="J158" s="656"/>
      <c r="K158" s="656"/>
      <c r="L158" s="656"/>
      <c r="M158" s="656"/>
      <c r="N158" s="656"/>
      <c r="O158" s="656"/>
      <c r="P158" s="656"/>
      <c r="Q158" s="656"/>
      <c r="R158" s="656"/>
      <c r="S158" s="656"/>
      <c r="T158" s="656"/>
      <c r="U158" s="656"/>
      <c r="V158" s="656"/>
      <c r="W158" s="656"/>
      <c r="X158" s="656"/>
      <c r="Y158" s="656"/>
      <c r="Z158" s="656"/>
      <c r="AA158" s="656"/>
      <c r="AB158" s="656"/>
      <c r="AC158" s="656"/>
      <c r="AD158" s="656"/>
      <c r="AE158" s="656"/>
      <c r="AF158" s="656"/>
      <c r="AG158" s="656"/>
      <c r="AH158" s="656"/>
      <c r="AI158" s="656"/>
      <c r="AJ158" s="656"/>
      <c r="AK158" s="656"/>
      <c r="AL158" s="656"/>
      <c r="AM158" s="656"/>
      <c r="AN158" s="656"/>
      <c r="AO158" s="656"/>
      <c r="AP158" s="656"/>
      <c r="AQ158" s="656"/>
      <c r="AR158" s="656"/>
      <c r="AS158" s="656"/>
      <c r="AT158" s="656"/>
      <c r="AU158" s="656"/>
      <c r="AV158" s="656"/>
      <c r="AW158" s="656"/>
      <c r="AX158" s="656"/>
      <c r="AY158" s="656"/>
      <c r="AZ158" s="656"/>
      <c r="BA158" s="656"/>
      <c r="BB158" s="656"/>
      <c r="BC158" s="656"/>
      <c r="BD158" s="656"/>
      <c r="BE158" s="656"/>
      <c r="BF158" s="656"/>
      <c r="BG158" s="656"/>
      <c r="BH158" s="656"/>
      <c r="BI158" s="656"/>
      <c r="BJ158" s="656"/>
      <c r="BK158" s="656"/>
      <c r="BL158" s="656"/>
      <c r="BM158" s="656"/>
      <c r="BN158" s="656"/>
      <c r="BO158" s="656"/>
      <c r="BP158" s="656"/>
      <c r="BQ158" s="656"/>
      <c r="BR158" s="656"/>
      <c r="BS158" s="656"/>
      <c r="BT158" s="656"/>
      <c r="BU158" s="656"/>
      <c r="BV158" s="656"/>
      <c r="BW158" s="656"/>
      <c r="BX158" s="656"/>
      <c r="BY158" s="656"/>
      <c r="BZ158" s="656"/>
      <c r="CA158" s="656"/>
      <c r="CC158" s="178"/>
      <c r="CF158" s="285"/>
      <c r="CG158" s="285"/>
      <c r="DB158" s="6"/>
    </row>
    <row r="159" spans="1:106" ht="15">
      <c r="A159" s="8">
        <v>1</v>
      </c>
      <c r="B159" s="277"/>
      <c r="C159" s="656"/>
      <c r="D159" s="656"/>
      <c r="E159" s="656"/>
      <c r="F159" s="656"/>
      <c r="G159" s="656"/>
      <c r="H159" s="656"/>
      <c r="I159" s="656"/>
      <c r="J159" s="656"/>
      <c r="K159" s="656"/>
      <c r="L159" s="656"/>
      <c r="M159" s="656"/>
      <c r="N159" s="656"/>
      <c r="O159" s="656"/>
      <c r="P159" s="656"/>
      <c r="Q159" s="656"/>
      <c r="R159" s="656"/>
      <c r="S159" s="656"/>
      <c r="T159" s="656"/>
      <c r="U159" s="656"/>
      <c r="V159" s="656"/>
      <c r="W159" s="656"/>
      <c r="X159" s="656"/>
      <c r="Y159" s="656"/>
      <c r="Z159" s="656"/>
      <c r="AA159" s="656"/>
      <c r="AB159" s="656"/>
      <c r="AC159" s="656"/>
      <c r="AD159" s="656"/>
      <c r="AE159" s="656"/>
      <c r="AF159" s="656"/>
      <c r="AG159" s="656"/>
      <c r="AH159" s="656"/>
      <c r="AI159" s="656"/>
      <c r="AJ159" s="656"/>
      <c r="AK159" s="656"/>
      <c r="AL159" s="656"/>
      <c r="AM159" s="656"/>
      <c r="AN159" s="656"/>
      <c r="AO159" s="656"/>
      <c r="AP159" s="656"/>
      <c r="AQ159" s="656"/>
      <c r="AR159" s="656"/>
      <c r="AS159" s="656"/>
      <c r="AT159" s="656"/>
      <c r="AU159" s="656"/>
      <c r="AV159" s="656"/>
      <c r="AW159" s="656"/>
      <c r="AX159" s="656"/>
      <c r="AY159" s="656"/>
      <c r="AZ159" s="656"/>
      <c r="BA159" s="656"/>
      <c r="BB159" s="656"/>
      <c r="BC159" s="656"/>
      <c r="BD159" s="656"/>
      <c r="BE159" s="656"/>
      <c r="BF159" s="656"/>
      <c r="BG159" s="656"/>
      <c r="BH159" s="656"/>
      <c r="BI159" s="656"/>
      <c r="BJ159" s="656"/>
      <c r="BK159" s="656"/>
      <c r="BL159" s="656"/>
      <c r="BM159" s="656"/>
      <c r="BN159" s="656"/>
      <c r="BO159" s="656"/>
      <c r="BP159" s="656"/>
      <c r="BQ159" s="656"/>
      <c r="BR159" s="656"/>
      <c r="BS159" s="656"/>
      <c r="BT159" s="656"/>
      <c r="BU159" s="656"/>
      <c r="BV159" s="656"/>
      <c r="BW159" s="656"/>
      <c r="BX159" s="656"/>
      <c r="BY159" s="656"/>
      <c r="BZ159" s="656"/>
      <c r="CA159" s="656"/>
      <c r="DB159" s="6"/>
    </row>
    <row r="160" spans="1:106" ht="15">
      <c r="A160" s="8">
        <v>1</v>
      </c>
      <c r="B160" s="277"/>
      <c r="C160" s="656"/>
      <c r="D160" s="656"/>
      <c r="E160" s="656"/>
      <c r="F160" s="656"/>
      <c r="G160" s="656"/>
      <c r="H160" s="656"/>
      <c r="I160" s="656"/>
      <c r="J160" s="656"/>
      <c r="K160" s="656"/>
      <c r="L160" s="656"/>
      <c r="M160" s="656"/>
      <c r="N160" s="656"/>
      <c r="O160" s="656"/>
      <c r="P160" s="656"/>
      <c r="Q160" s="656"/>
      <c r="R160" s="656"/>
      <c r="S160" s="656"/>
      <c r="T160" s="656"/>
      <c r="U160" s="656"/>
      <c r="V160" s="656"/>
      <c r="W160" s="656"/>
      <c r="X160" s="656"/>
      <c r="Y160" s="656"/>
      <c r="Z160" s="656"/>
      <c r="AA160" s="656"/>
      <c r="AB160" s="656"/>
      <c r="AC160" s="656"/>
      <c r="AD160" s="656"/>
      <c r="AE160" s="656"/>
      <c r="AF160" s="656"/>
      <c r="AG160" s="656"/>
      <c r="AH160" s="656"/>
      <c r="AI160" s="656"/>
      <c r="AJ160" s="656"/>
      <c r="AK160" s="656"/>
      <c r="AL160" s="656"/>
      <c r="AM160" s="656"/>
      <c r="AN160" s="656"/>
      <c r="AO160" s="656"/>
      <c r="AP160" s="656"/>
      <c r="AQ160" s="656"/>
      <c r="AR160" s="656"/>
      <c r="AS160" s="656"/>
      <c r="AT160" s="656"/>
      <c r="AU160" s="656"/>
      <c r="AV160" s="656"/>
      <c r="AW160" s="656"/>
      <c r="AX160" s="656"/>
      <c r="AY160" s="656"/>
      <c r="AZ160" s="656"/>
      <c r="BA160" s="656"/>
      <c r="BB160" s="656"/>
      <c r="BC160" s="656"/>
      <c r="BD160" s="656"/>
      <c r="BE160" s="656"/>
      <c r="BF160" s="656"/>
      <c r="BG160" s="656"/>
      <c r="BH160" s="656"/>
      <c r="BI160" s="656"/>
      <c r="BJ160" s="656"/>
      <c r="BK160" s="656"/>
      <c r="BL160" s="656"/>
      <c r="BM160" s="656"/>
      <c r="BN160" s="656"/>
      <c r="BO160" s="656"/>
      <c r="BP160" s="656"/>
      <c r="BQ160" s="656"/>
      <c r="BR160" s="656"/>
      <c r="BS160" s="656"/>
      <c r="BT160" s="656"/>
      <c r="BU160" s="656"/>
      <c r="BV160" s="656"/>
      <c r="BW160" s="656"/>
      <c r="BX160" s="656"/>
      <c r="BY160" s="656"/>
      <c r="BZ160" s="656"/>
      <c r="CA160" s="656"/>
      <c r="DB160" s="6"/>
    </row>
    <row r="161" spans="1:79" ht="15">
      <c r="A161" s="8">
        <v>1</v>
      </c>
      <c r="C161" s="656"/>
      <c r="D161" s="656"/>
      <c r="E161" s="656"/>
      <c r="F161" s="656"/>
      <c r="G161" s="656"/>
      <c r="H161" s="656"/>
      <c r="I161" s="656"/>
      <c r="J161" s="656"/>
      <c r="K161" s="656"/>
      <c r="L161" s="656"/>
      <c r="M161" s="656"/>
      <c r="N161" s="656"/>
      <c r="O161" s="656"/>
      <c r="P161" s="656"/>
      <c r="Q161" s="656"/>
      <c r="R161" s="656"/>
      <c r="S161" s="656"/>
      <c r="T161" s="656"/>
      <c r="U161" s="656"/>
      <c r="V161" s="656"/>
      <c r="W161" s="656"/>
      <c r="X161" s="656"/>
      <c r="Y161" s="656"/>
      <c r="Z161" s="656"/>
      <c r="AA161" s="656"/>
      <c r="AB161" s="656"/>
      <c r="AC161" s="656"/>
      <c r="AD161" s="656"/>
      <c r="AE161" s="656"/>
      <c r="AF161" s="656"/>
      <c r="AG161" s="656"/>
      <c r="AH161" s="656"/>
      <c r="AI161" s="656"/>
      <c r="AJ161" s="656"/>
      <c r="AK161" s="656"/>
      <c r="AL161" s="656"/>
      <c r="AM161" s="656"/>
      <c r="AN161" s="656"/>
      <c r="AO161" s="656"/>
      <c r="AP161" s="656"/>
      <c r="AQ161" s="656"/>
      <c r="AR161" s="656"/>
      <c r="AS161" s="656"/>
      <c r="AT161" s="656"/>
      <c r="AU161" s="656"/>
      <c r="AV161" s="656"/>
      <c r="AW161" s="656"/>
      <c r="AX161" s="656"/>
      <c r="AY161" s="656"/>
      <c r="AZ161" s="656"/>
      <c r="BA161" s="656"/>
      <c r="BB161" s="656"/>
      <c r="BC161" s="656"/>
      <c r="BD161" s="656"/>
      <c r="BE161" s="656"/>
      <c r="BF161" s="656"/>
      <c r="BG161" s="656"/>
      <c r="BH161" s="656"/>
      <c r="BI161" s="656"/>
      <c r="BJ161" s="656"/>
      <c r="BK161" s="656"/>
      <c r="BL161" s="656"/>
      <c r="BM161" s="656"/>
      <c r="BN161" s="656"/>
      <c r="BO161" s="656"/>
      <c r="BP161" s="656"/>
      <c r="BQ161" s="656"/>
      <c r="BR161" s="656"/>
      <c r="BS161" s="656"/>
      <c r="BT161" s="656"/>
      <c r="BU161" s="656"/>
      <c r="BV161" s="656"/>
      <c r="BW161" s="656"/>
      <c r="BX161" s="656"/>
      <c r="BY161" s="656"/>
      <c r="BZ161" s="656"/>
      <c r="CA161" s="656"/>
    </row>
    <row r="162" spans="1:79" ht="15">
      <c r="A162" s="8">
        <v>1</v>
      </c>
      <c r="B162" s="277"/>
      <c r="C162" s="657"/>
      <c r="D162" s="657"/>
      <c r="E162" s="657"/>
      <c r="F162" s="657"/>
      <c r="G162" s="657"/>
      <c r="H162" s="657"/>
      <c r="I162" s="657"/>
      <c r="J162" s="657"/>
      <c r="K162" s="657"/>
      <c r="L162" s="657"/>
      <c r="M162" s="657"/>
      <c r="N162" s="657"/>
      <c r="O162" s="657"/>
      <c r="P162" s="657"/>
      <c r="Q162" s="657"/>
      <c r="R162" s="657"/>
      <c r="S162" s="657"/>
      <c r="T162" s="657"/>
      <c r="U162" s="657"/>
      <c r="V162" s="657"/>
      <c r="W162" s="657"/>
      <c r="X162" s="657"/>
      <c r="Y162" s="657"/>
      <c r="Z162" s="657"/>
      <c r="AA162" s="657"/>
      <c r="AB162" s="657"/>
      <c r="AC162" s="657"/>
      <c r="AD162" s="657"/>
      <c r="AE162" s="657"/>
      <c r="AF162" s="657"/>
      <c r="AG162" s="657"/>
      <c r="AH162" s="657"/>
      <c r="AI162" s="657"/>
      <c r="AJ162" s="657"/>
      <c r="AK162" s="657"/>
      <c r="AL162" s="657"/>
      <c r="AM162" s="657"/>
      <c r="AN162" s="657"/>
      <c r="AO162" s="657"/>
      <c r="AP162" s="657"/>
      <c r="AQ162" s="657"/>
      <c r="AR162" s="657"/>
      <c r="AS162" s="657"/>
      <c r="AT162" s="657"/>
      <c r="AU162" s="657"/>
      <c r="AV162" s="657"/>
      <c r="AW162" s="657"/>
      <c r="AX162" s="657"/>
      <c r="AY162" s="657"/>
      <c r="AZ162" s="657"/>
      <c r="BA162" s="657"/>
      <c r="BB162" s="657"/>
      <c r="BC162" s="657"/>
      <c r="BD162" s="657"/>
      <c r="BE162" s="657"/>
      <c r="BF162" s="657"/>
      <c r="BG162" s="657"/>
      <c r="BH162" s="657"/>
      <c r="BI162" s="657"/>
      <c r="BJ162" s="657"/>
      <c r="BK162" s="657"/>
      <c r="BL162" s="657"/>
      <c r="BM162" s="657"/>
      <c r="BN162" s="657"/>
      <c r="BO162" s="657"/>
      <c r="BP162" s="657"/>
      <c r="BQ162" s="657"/>
      <c r="BR162" s="657"/>
      <c r="BS162" s="657"/>
      <c r="BT162" s="657"/>
      <c r="BU162" s="657"/>
      <c r="BV162" s="657"/>
      <c r="BW162" s="657"/>
      <c r="BX162" s="657"/>
      <c r="BY162" s="657"/>
      <c r="BZ162" s="657"/>
      <c r="CA162" s="657"/>
    </row>
    <row r="163" spans="1:79" ht="15">
      <c r="A163" s="8">
        <v>1</v>
      </c>
      <c r="B163" s="277"/>
      <c r="C163" s="657"/>
      <c r="D163" s="657"/>
      <c r="E163" s="657"/>
      <c r="F163" s="657"/>
      <c r="G163" s="657"/>
      <c r="H163" s="657"/>
      <c r="I163" s="657"/>
      <c r="J163" s="657"/>
      <c r="K163" s="657"/>
      <c r="L163" s="657"/>
      <c r="M163" s="657"/>
      <c r="N163" s="657"/>
      <c r="O163" s="657"/>
      <c r="P163" s="657"/>
      <c r="Q163" s="657"/>
      <c r="R163" s="657"/>
      <c r="S163" s="657"/>
      <c r="T163" s="657"/>
      <c r="U163" s="657"/>
      <c r="V163" s="657"/>
      <c r="W163" s="657"/>
      <c r="X163" s="657"/>
      <c r="Y163" s="657"/>
      <c r="Z163" s="657"/>
      <c r="AA163" s="657"/>
      <c r="AB163" s="657"/>
      <c r="AC163" s="657"/>
      <c r="AD163" s="657"/>
      <c r="AE163" s="657"/>
      <c r="AF163" s="657"/>
      <c r="AG163" s="657"/>
      <c r="AH163" s="657"/>
      <c r="AI163" s="657"/>
      <c r="AJ163" s="657"/>
      <c r="AK163" s="657"/>
      <c r="AL163" s="657"/>
      <c r="AM163" s="657"/>
      <c r="AN163" s="657"/>
      <c r="AO163" s="657"/>
      <c r="AP163" s="657"/>
      <c r="AQ163" s="657"/>
      <c r="AR163" s="657"/>
      <c r="AS163" s="657"/>
      <c r="AT163" s="657"/>
      <c r="AU163" s="657"/>
      <c r="AV163" s="657"/>
      <c r="AW163" s="657"/>
      <c r="AX163" s="657"/>
      <c r="AY163" s="657"/>
      <c r="AZ163" s="657"/>
      <c r="BA163" s="657"/>
      <c r="BB163" s="657"/>
      <c r="BC163" s="657"/>
      <c r="BD163" s="657"/>
      <c r="BE163" s="657"/>
      <c r="BF163" s="657"/>
      <c r="BG163" s="657"/>
      <c r="BH163" s="657"/>
      <c r="BI163" s="657"/>
      <c r="BJ163" s="657"/>
      <c r="BK163" s="657"/>
      <c r="BL163" s="657"/>
      <c r="BM163" s="657"/>
      <c r="BN163" s="657"/>
      <c r="BO163" s="657"/>
      <c r="BP163" s="657"/>
      <c r="BQ163" s="657"/>
      <c r="BR163" s="657"/>
      <c r="BS163" s="657"/>
      <c r="BT163" s="657"/>
      <c r="BU163" s="657"/>
      <c r="BV163" s="657"/>
      <c r="BW163" s="657"/>
      <c r="BX163" s="657"/>
      <c r="BY163" s="657"/>
      <c r="BZ163" s="657"/>
      <c r="CA163" s="657"/>
    </row>
    <row r="164" spans="1:79" ht="15">
      <c r="A164" s="8">
        <v>1</v>
      </c>
      <c r="B164" s="277"/>
      <c r="C164" s="657"/>
      <c r="D164" s="657"/>
      <c r="E164" s="657"/>
      <c r="F164" s="657"/>
      <c r="G164" s="657"/>
      <c r="H164" s="657"/>
      <c r="I164" s="657"/>
      <c r="J164" s="657"/>
      <c r="K164" s="657"/>
      <c r="L164" s="657"/>
      <c r="M164" s="657"/>
      <c r="N164" s="657"/>
      <c r="O164" s="657"/>
      <c r="P164" s="657"/>
      <c r="Q164" s="657"/>
      <c r="R164" s="657"/>
      <c r="S164" s="657"/>
      <c r="T164" s="657"/>
      <c r="U164" s="657"/>
      <c r="V164" s="657"/>
      <c r="W164" s="657"/>
      <c r="X164" s="657"/>
      <c r="Y164" s="657"/>
      <c r="Z164" s="657"/>
      <c r="AA164" s="657"/>
      <c r="AB164" s="657"/>
      <c r="AC164" s="657"/>
      <c r="AD164" s="657"/>
      <c r="AE164" s="657"/>
      <c r="AF164" s="657"/>
      <c r="AG164" s="657"/>
      <c r="AH164" s="657"/>
      <c r="AI164" s="657"/>
      <c r="AJ164" s="657"/>
      <c r="AK164" s="657"/>
      <c r="AL164" s="657"/>
      <c r="AM164" s="657"/>
      <c r="AN164" s="657"/>
      <c r="AO164" s="657"/>
      <c r="AP164" s="657"/>
      <c r="AQ164" s="657"/>
      <c r="AR164" s="657"/>
      <c r="AS164" s="657"/>
      <c r="AT164" s="657"/>
      <c r="AU164" s="657"/>
      <c r="AV164" s="657"/>
      <c r="AW164" s="657"/>
      <c r="AX164" s="657"/>
      <c r="AY164" s="657"/>
      <c r="AZ164" s="657"/>
      <c r="BA164" s="657"/>
      <c r="BB164" s="657"/>
      <c r="BC164" s="657"/>
      <c r="BD164" s="657"/>
      <c r="BE164" s="657"/>
      <c r="BF164" s="657"/>
      <c r="BG164" s="657"/>
      <c r="BH164" s="657"/>
      <c r="BI164" s="657"/>
      <c r="BJ164" s="657"/>
      <c r="BK164" s="657"/>
      <c r="BL164" s="657"/>
      <c r="BM164" s="657"/>
      <c r="BN164" s="657"/>
      <c r="BO164" s="657"/>
      <c r="BP164" s="657"/>
      <c r="BQ164" s="657"/>
      <c r="BR164" s="657"/>
      <c r="BS164" s="657"/>
      <c r="BT164" s="657"/>
      <c r="BU164" s="657"/>
      <c r="BV164" s="657"/>
      <c r="BW164" s="657"/>
      <c r="BX164" s="657"/>
      <c r="BY164" s="657"/>
      <c r="BZ164" s="657"/>
      <c r="CA164" s="657"/>
    </row>
    <row r="165" spans="1:95" ht="15">
      <c r="A165" s="8">
        <v>1</v>
      </c>
      <c r="B165" s="277"/>
      <c r="C165" s="657"/>
      <c r="D165" s="657"/>
      <c r="E165" s="657"/>
      <c r="F165" s="657"/>
      <c r="G165" s="657"/>
      <c r="H165" s="657"/>
      <c r="I165" s="657"/>
      <c r="J165" s="657"/>
      <c r="K165" s="657"/>
      <c r="L165" s="657"/>
      <c r="M165" s="657"/>
      <c r="N165" s="657"/>
      <c r="O165" s="657"/>
      <c r="P165" s="657"/>
      <c r="Q165" s="657"/>
      <c r="R165" s="657"/>
      <c r="S165" s="657"/>
      <c r="T165" s="657"/>
      <c r="U165" s="657"/>
      <c r="V165" s="657"/>
      <c r="W165" s="657"/>
      <c r="X165" s="657"/>
      <c r="Y165" s="657"/>
      <c r="Z165" s="657"/>
      <c r="AA165" s="657"/>
      <c r="AB165" s="657"/>
      <c r="AC165" s="657"/>
      <c r="AD165" s="657"/>
      <c r="AE165" s="657"/>
      <c r="AF165" s="657"/>
      <c r="AG165" s="657"/>
      <c r="AH165" s="657"/>
      <c r="AI165" s="657"/>
      <c r="AJ165" s="657"/>
      <c r="AK165" s="657"/>
      <c r="AL165" s="657"/>
      <c r="AM165" s="657"/>
      <c r="AN165" s="657"/>
      <c r="AO165" s="657"/>
      <c r="AP165" s="657"/>
      <c r="AQ165" s="657"/>
      <c r="AR165" s="657"/>
      <c r="AS165" s="657"/>
      <c r="AT165" s="657"/>
      <c r="AU165" s="657"/>
      <c r="AV165" s="657"/>
      <c r="AW165" s="657"/>
      <c r="AX165" s="657"/>
      <c r="AY165" s="657"/>
      <c r="AZ165" s="657"/>
      <c r="BA165" s="657"/>
      <c r="BB165" s="657"/>
      <c r="BC165" s="657"/>
      <c r="BD165" s="657"/>
      <c r="BE165" s="657"/>
      <c r="BF165" s="657"/>
      <c r="BG165" s="657"/>
      <c r="BH165" s="657"/>
      <c r="BI165" s="657"/>
      <c r="BJ165" s="657"/>
      <c r="BK165" s="657"/>
      <c r="BL165" s="657"/>
      <c r="BM165" s="657"/>
      <c r="BN165" s="657"/>
      <c r="BO165" s="657"/>
      <c r="BP165" s="657"/>
      <c r="BQ165" s="657"/>
      <c r="BR165" s="657"/>
      <c r="BS165" s="657"/>
      <c r="BT165" s="657"/>
      <c r="BU165" s="657"/>
      <c r="BV165" s="657"/>
      <c r="BW165" s="657"/>
      <c r="BX165" s="657"/>
      <c r="BY165" s="657"/>
      <c r="BZ165" s="657"/>
      <c r="CA165" s="657"/>
      <c r="CQ165" s="6"/>
    </row>
    <row r="166" spans="1:79" ht="15">
      <c r="A166" s="8">
        <v>1</v>
      </c>
      <c r="B166" s="277"/>
      <c r="C166" s="657"/>
      <c r="D166" s="657"/>
      <c r="E166" s="657"/>
      <c r="F166" s="657"/>
      <c r="G166" s="657"/>
      <c r="H166" s="657"/>
      <c r="I166" s="657"/>
      <c r="J166" s="657"/>
      <c r="K166" s="657"/>
      <c r="L166" s="657"/>
      <c r="M166" s="657"/>
      <c r="N166" s="657"/>
      <c r="O166" s="657"/>
      <c r="P166" s="657"/>
      <c r="Q166" s="657"/>
      <c r="R166" s="657"/>
      <c r="S166" s="657"/>
      <c r="T166" s="657"/>
      <c r="U166" s="657"/>
      <c r="V166" s="657"/>
      <c r="W166" s="657"/>
      <c r="X166" s="657"/>
      <c r="Y166" s="657"/>
      <c r="Z166" s="657"/>
      <c r="AA166" s="657"/>
      <c r="AB166" s="657"/>
      <c r="AC166" s="657"/>
      <c r="AD166" s="657"/>
      <c r="AE166" s="657"/>
      <c r="AF166" s="657"/>
      <c r="AG166" s="657"/>
      <c r="AH166" s="657"/>
      <c r="AI166" s="657"/>
      <c r="AJ166" s="657"/>
      <c r="AK166" s="657"/>
      <c r="AL166" s="657"/>
      <c r="AM166" s="657"/>
      <c r="AN166" s="657"/>
      <c r="AO166" s="657"/>
      <c r="AP166" s="657"/>
      <c r="AQ166" s="657"/>
      <c r="AR166" s="657"/>
      <c r="AS166" s="657"/>
      <c r="AT166" s="657"/>
      <c r="AU166" s="657"/>
      <c r="AV166" s="657"/>
      <c r="AW166" s="657"/>
      <c r="AX166" s="657"/>
      <c r="AY166" s="657"/>
      <c r="AZ166" s="657"/>
      <c r="BA166" s="657"/>
      <c r="BB166" s="657"/>
      <c r="BC166" s="657"/>
      <c r="BD166" s="657"/>
      <c r="BE166" s="657"/>
      <c r="BF166" s="657"/>
      <c r="BG166" s="657"/>
      <c r="BH166" s="657"/>
      <c r="BI166" s="657"/>
      <c r="BJ166" s="657"/>
      <c r="BK166" s="657"/>
      <c r="BL166" s="657"/>
      <c r="BM166" s="657"/>
      <c r="BN166" s="657"/>
      <c r="BO166" s="657"/>
      <c r="BP166" s="657"/>
      <c r="BQ166" s="657"/>
      <c r="BR166" s="657"/>
      <c r="BS166" s="657"/>
      <c r="BT166" s="657"/>
      <c r="BU166" s="657"/>
      <c r="BV166" s="657"/>
      <c r="BW166" s="657"/>
      <c r="BX166" s="657"/>
      <c r="BY166" s="657"/>
      <c r="BZ166" s="657"/>
      <c r="CA166" s="657"/>
    </row>
    <row r="167" spans="1:79" ht="15">
      <c r="A167" s="8">
        <v>1</v>
      </c>
      <c r="B167" s="277"/>
      <c r="C167" s="657"/>
      <c r="D167" s="657"/>
      <c r="E167" s="657"/>
      <c r="F167" s="657"/>
      <c r="G167" s="657"/>
      <c r="H167" s="657"/>
      <c r="I167" s="657"/>
      <c r="J167" s="657"/>
      <c r="K167" s="657"/>
      <c r="L167" s="657"/>
      <c r="M167" s="657"/>
      <c r="N167" s="657"/>
      <c r="O167" s="657"/>
      <c r="P167" s="657"/>
      <c r="Q167" s="657"/>
      <c r="R167" s="657"/>
      <c r="S167" s="657"/>
      <c r="T167" s="657"/>
      <c r="U167" s="657"/>
      <c r="V167" s="657"/>
      <c r="W167" s="657"/>
      <c r="X167" s="657"/>
      <c r="Y167" s="657"/>
      <c r="Z167" s="657"/>
      <c r="AA167" s="657"/>
      <c r="AB167" s="657"/>
      <c r="AC167" s="657"/>
      <c r="AD167" s="657"/>
      <c r="AE167" s="657"/>
      <c r="AF167" s="657"/>
      <c r="AG167" s="657"/>
      <c r="AH167" s="657"/>
      <c r="AI167" s="657"/>
      <c r="AJ167" s="657"/>
      <c r="AK167" s="657"/>
      <c r="AL167" s="657"/>
      <c r="AM167" s="657"/>
      <c r="AN167" s="657"/>
      <c r="AO167" s="657"/>
      <c r="AP167" s="657"/>
      <c r="AQ167" s="657"/>
      <c r="AR167" s="657"/>
      <c r="AS167" s="657"/>
      <c r="AT167" s="657"/>
      <c r="AU167" s="657"/>
      <c r="AV167" s="657"/>
      <c r="AW167" s="657"/>
      <c r="AX167" s="657"/>
      <c r="AY167" s="657"/>
      <c r="AZ167" s="657"/>
      <c r="BA167" s="657"/>
      <c r="BB167" s="657"/>
      <c r="BC167" s="657"/>
      <c r="BD167" s="657"/>
      <c r="BE167" s="657"/>
      <c r="BF167" s="657"/>
      <c r="BG167" s="657"/>
      <c r="BH167" s="657"/>
      <c r="BI167" s="657"/>
      <c r="BJ167" s="657"/>
      <c r="BK167" s="657"/>
      <c r="BL167" s="657"/>
      <c r="BM167" s="657"/>
      <c r="BN167" s="657"/>
      <c r="BO167" s="657"/>
      <c r="BP167" s="657"/>
      <c r="BQ167" s="657"/>
      <c r="BR167" s="657"/>
      <c r="BS167" s="657"/>
      <c r="BT167" s="657"/>
      <c r="BU167" s="657"/>
      <c r="BV167" s="657"/>
      <c r="BW167" s="657"/>
      <c r="BX167" s="657"/>
      <c r="BY167" s="657"/>
      <c r="BZ167" s="657"/>
      <c r="CA167" s="657"/>
    </row>
    <row r="168" spans="1:79" ht="15">
      <c r="A168" s="8">
        <v>1</v>
      </c>
      <c r="B168" s="277"/>
      <c r="C168" s="657"/>
      <c r="D168" s="657"/>
      <c r="E168" s="657"/>
      <c r="F168" s="657"/>
      <c r="G168" s="657"/>
      <c r="H168" s="657"/>
      <c r="I168" s="657"/>
      <c r="J168" s="657"/>
      <c r="K168" s="657"/>
      <c r="L168" s="657"/>
      <c r="M168" s="657"/>
      <c r="N168" s="657"/>
      <c r="O168" s="657"/>
      <c r="P168" s="657"/>
      <c r="Q168" s="657"/>
      <c r="R168" s="657"/>
      <c r="S168" s="657"/>
      <c r="T168" s="657"/>
      <c r="U168" s="657"/>
      <c r="V168" s="657"/>
      <c r="W168" s="657"/>
      <c r="X168" s="657"/>
      <c r="Y168" s="657"/>
      <c r="Z168" s="657"/>
      <c r="AA168" s="657"/>
      <c r="AB168" s="657"/>
      <c r="AC168" s="657"/>
      <c r="AD168" s="657"/>
      <c r="AE168" s="657"/>
      <c r="AF168" s="657"/>
      <c r="AG168" s="657"/>
      <c r="AH168" s="657"/>
      <c r="AI168" s="657"/>
      <c r="AJ168" s="657"/>
      <c r="AK168" s="657"/>
      <c r="AL168" s="657"/>
      <c r="AM168" s="657"/>
      <c r="AN168" s="657"/>
      <c r="AO168" s="657"/>
      <c r="AP168" s="657"/>
      <c r="AQ168" s="657"/>
      <c r="AR168" s="657"/>
      <c r="AS168" s="657"/>
      <c r="AT168" s="657"/>
      <c r="AU168" s="657"/>
      <c r="AV168" s="657"/>
      <c r="AW168" s="657"/>
      <c r="AX168" s="657"/>
      <c r="AY168" s="657"/>
      <c r="AZ168" s="657"/>
      <c r="BA168" s="657"/>
      <c r="BB168" s="657"/>
      <c r="BC168" s="657"/>
      <c r="BD168" s="657"/>
      <c r="BE168" s="657"/>
      <c r="BF168" s="657"/>
      <c r="BG168" s="657"/>
      <c r="BH168" s="657"/>
      <c r="BI168" s="657"/>
      <c r="BJ168" s="657"/>
      <c r="BK168" s="657"/>
      <c r="BL168" s="657"/>
      <c r="BM168" s="657"/>
      <c r="BN168" s="657"/>
      <c r="BO168" s="657"/>
      <c r="BP168" s="657"/>
      <c r="BQ168" s="657"/>
      <c r="BR168" s="657"/>
      <c r="BS168" s="657"/>
      <c r="BT168" s="657"/>
      <c r="BU168" s="657"/>
      <c r="BV168" s="657"/>
      <c r="BW168" s="657"/>
      <c r="BX168" s="657"/>
      <c r="BY168" s="657"/>
      <c r="BZ168" s="657"/>
      <c r="CA168" s="657"/>
    </row>
    <row r="169" spans="1:79" ht="15">
      <c r="A169" s="8">
        <f>IF(A150=1,0,1)</f>
        <v>1</v>
      </c>
      <c r="B169" s="277"/>
      <c r="C169" s="657"/>
      <c r="D169" s="657"/>
      <c r="E169" s="657"/>
      <c r="F169" s="657"/>
      <c r="G169" s="657"/>
      <c r="H169" s="657"/>
      <c r="I169" s="657"/>
      <c r="J169" s="657"/>
      <c r="K169" s="657"/>
      <c r="L169" s="657"/>
      <c r="M169" s="657"/>
      <c r="N169" s="657"/>
      <c r="O169" s="657"/>
      <c r="P169" s="657"/>
      <c r="Q169" s="657"/>
      <c r="R169" s="657"/>
      <c r="S169" s="657"/>
      <c r="T169" s="657"/>
      <c r="U169" s="657"/>
      <c r="V169" s="657"/>
      <c r="W169" s="657"/>
      <c r="X169" s="657"/>
      <c r="Y169" s="657"/>
      <c r="Z169" s="657"/>
      <c r="AA169" s="657"/>
      <c r="AB169" s="657"/>
      <c r="AC169" s="657"/>
      <c r="AD169" s="657"/>
      <c r="AE169" s="657"/>
      <c r="AF169" s="657"/>
      <c r="AG169" s="657"/>
      <c r="AH169" s="657"/>
      <c r="AI169" s="657"/>
      <c r="AJ169" s="657"/>
      <c r="AK169" s="657"/>
      <c r="AL169" s="657"/>
      <c r="AM169" s="657"/>
      <c r="AN169" s="657"/>
      <c r="AO169" s="657"/>
      <c r="AP169" s="657"/>
      <c r="AQ169" s="657"/>
      <c r="AR169" s="657"/>
      <c r="AS169" s="657"/>
      <c r="AT169" s="657"/>
      <c r="AU169" s="657"/>
      <c r="AV169" s="657"/>
      <c r="AW169" s="657"/>
      <c r="AX169" s="657"/>
      <c r="AY169" s="657"/>
      <c r="AZ169" s="657"/>
      <c r="BA169" s="657"/>
      <c r="BB169" s="657"/>
      <c r="BC169" s="657"/>
      <c r="BD169" s="657"/>
      <c r="BE169" s="657"/>
      <c r="BF169" s="657"/>
      <c r="BG169" s="657"/>
      <c r="BH169" s="657"/>
      <c r="BI169" s="657"/>
      <c r="BJ169" s="657"/>
      <c r="BK169" s="657"/>
      <c r="BL169" s="657"/>
      <c r="BM169" s="657"/>
      <c r="BN169" s="657"/>
      <c r="BO169" s="657"/>
      <c r="BP169" s="657"/>
      <c r="BQ169" s="657"/>
      <c r="BR169" s="657"/>
      <c r="BS169" s="657"/>
      <c r="BT169" s="657"/>
      <c r="BU169" s="657"/>
      <c r="BV169" s="657"/>
      <c r="BW169" s="657"/>
      <c r="BX169" s="657"/>
      <c r="BY169" s="657"/>
      <c r="BZ169" s="657"/>
      <c r="CA169" s="657"/>
    </row>
    <row r="170" spans="1:79" ht="15">
      <c r="A170" s="8">
        <f>IF(A151=1,0,1)</f>
        <v>1</v>
      </c>
      <c r="B170" s="277"/>
      <c r="C170" s="657"/>
      <c r="D170" s="657"/>
      <c r="E170" s="657"/>
      <c r="F170" s="657"/>
      <c r="G170" s="657"/>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657"/>
      <c r="AL170" s="657"/>
      <c r="AM170" s="657"/>
      <c r="AN170" s="657"/>
      <c r="AO170" s="657"/>
      <c r="AP170" s="657"/>
      <c r="AQ170" s="657"/>
      <c r="AR170" s="657"/>
      <c r="AS170" s="657"/>
      <c r="AT170" s="657"/>
      <c r="AU170" s="657"/>
      <c r="AV170" s="657"/>
      <c r="AW170" s="657"/>
      <c r="AX170" s="657"/>
      <c r="AY170" s="657"/>
      <c r="AZ170" s="657"/>
      <c r="BA170" s="657"/>
      <c r="BB170" s="657"/>
      <c r="BC170" s="657"/>
      <c r="BD170" s="657"/>
      <c r="BE170" s="657"/>
      <c r="BF170" s="657"/>
      <c r="BG170" s="657"/>
      <c r="BH170" s="657"/>
      <c r="BI170" s="657"/>
      <c r="BJ170" s="657"/>
      <c r="BK170" s="657"/>
      <c r="BL170" s="657"/>
      <c r="BM170" s="657"/>
      <c r="BN170" s="657"/>
      <c r="BO170" s="657"/>
      <c r="BP170" s="657"/>
      <c r="BQ170" s="657"/>
      <c r="BR170" s="657"/>
      <c r="BS170" s="657"/>
      <c r="BT170" s="657"/>
      <c r="BU170" s="657"/>
      <c r="BV170" s="657"/>
      <c r="BW170" s="657"/>
      <c r="BX170" s="657"/>
      <c r="BY170" s="657"/>
      <c r="BZ170" s="657"/>
      <c r="CA170" s="657"/>
    </row>
    <row r="171" spans="1:79" ht="15">
      <c r="A171" s="8">
        <f>IF(A152=1,0,1)</f>
        <v>1</v>
      </c>
      <c r="B171" s="277"/>
      <c r="C171" s="657"/>
      <c r="D171" s="657"/>
      <c r="E171" s="657"/>
      <c r="F171" s="657"/>
      <c r="G171" s="657"/>
      <c r="H171" s="657"/>
      <c r="I171" s="657"/>
      <c r="J171" s="657"/>
      <c r="K171" s="657"/>
      <c r="L171" s="657"/>
      <c r="M171" s="657"/>
      <c r="N171" s="657"/>
      <c r="O171" s="657"/>
      <c r="P171" s="657"/>
      <c r="Q171" s="657"/>
      <c r="R171" s="657"/>
      <c r="S171" s="657"/>
      <c r="T171" s="657"/>
      <c r="U171" s="657"/>
      <c r="V171" s="657"/>
      <c r="W171" s="657"/>
      <c r="X171" s="657"/>
      <c r="Y171" s="657"/>
      <c r="Z171" s="657"/>
      <c r="AA171" s="657"/>
      <c r="AB171" s="657"/>
      <c r="AC171" s="657"/>
      <c r="AD171" s="657"/>
      <c r="AE171" s="657"/>
      <c r="AF171" s="657"/>
      <c r="AG171" s="657"/>
      <c r="AH171" s="657"/>
      <c r="AI171" s="657"/>
      <c r="AJ171" s="657"/>
      <c r="AK171" s="657"/>
      <c r="AL171" s="657"/>
      <c r="AM171" s="657"/>
      <c r="AN171" s="657"/>
      <c r="AO171" s="657"/>
      <c r="AP171" s="657"/>
      <c r="AQ171" s="657"/>
      <c r="AR171" s="657"/>
      <c r="AS171" s="657"/>
      <c r="AT171" s="657"/>
      <c r="AU171" s="657"/>
      <c r="AV171" s="657"/>
      <c r="AW171" s="657"/>
      <c r="AX171" s="657"/>
      <c r="AY171" s="657"/>
      <c r="AZ171" s="657"/>
      <c r="BA171" s="657"/>
      <c r="BB171" s="657"/>
      <c r="BC171" s="657"/>
      <c r="BD171" s="657"/>
      <c r="BE171" s="657"/>
      <c r="BF171" s="657"/>
      <c r="BG171" s="657"/>
      <c r="BH171" s="657"/>
      <c r="BI171" s="657"/>
      <c r="BJ171" s="657"/>
      <c r="BK171" s="657"/>
      <c r="BL171" s="657"/>
      <c r="BM171" s="657"/>
      <c r="BN171" s="657"/>
      <c r="BO171" s="657"/>
      <c r="BP171" s="657"/>
      <c r="BQ171" s="657"/>
      <c r="BR171" s="657"/>
      <c r="BS171" s="657"/>
      <c r="BT171" s="657"/>
      <c r="BU171" s="657"/>
      <c r="BV171" s="657"/>
      <c r="BW171" s="657"/>
      <c r="BX171" s="657"/>
      <c r="BY171" s="657"/>
      <c r="BZ171" s="657"/>
      <c r="CA171" s="657"/>
    </row>
    <row r="172" spans="1:79" ht="15">
      <c r="A172" s="8">
        <f>IF(A153=1,0,1)</f>
        <v>1</v>
      </c>
      <c r="B172" s="277"/>
      <c r="C172" s="657"/>
      <c r="D172" s="657"/>
      <c r="E172" s="657"/>
      <c r="F172" s="657"/>
      <c r="G172" s="657"/>
      <c r="H172" s="657"/>
      <c r="I172" s="657"/>
      <c r="J172" s="657"/>
      <c r="K172" s="657"/>
      <c r="L172" s="657"/>
      <c r="M172" s="657"/>
      <c r="N172" s="657"/>
      <c r="O172" s="657"/>
      <c r="P172" s="657"/>
      <c r="Q172" s="657"/>
      <c r="R172" s="657"/>
      <c r="S172" s="657"/>
      <c r="T172" s="657"/>
      <c r="U172" s="657"/>
      <c r="V172" s="657"/>
      <c r="W172" s="657"/>
      <c r="X172" s="657"/>
      <c r="Y172" s="657"/>
      <c r="Z172" s="657"/>
      <c r="AA172" s="657"/>
      <c r="AB172" s="657"/>
      <c r="AC172" s="657"/>
      <c r="AD172" s="657"/>
      <c r="AE172" s="657"/>
      <c r="AF172" s="657"/>
      <c r="AG172" s="657"/>
      <c r="AH172" s="657"/>
      <c r="AI172" s="657"/>
      <c r="AJ172" s="657"/>
      <c r="AK172" s="657"/>
      <c r="AL172" s="657"/>
      <c r="AM172" s="657"/>
      <c r="AN172" s="657"/>
      <c r="AO172" s="657"/>
      <c r="AP172" s="657"/>
      <c r="AQ172" s="657"/>
      <c r="AR172" s="657"/>
      <c r="AS172" s="657"/>
      <c r="AT172" s="657"/>
      <c r="AU172" s="657"/>
      <c r="AV172" s="657"/>
      <c r="AW172" s="657"/>
      <c r="AX172" s="657"/>
      <c r="AY172" s="657"/>
      <c r="AZ172" s="657"/>
      <c r="BA172" s="657"/>
      <c r="BB172" s="657"/>
      <c r="BC172" s="657"/>
      <c r="BD172" s="657"/>
      <c r="BE172" s="657"/>
      <c r="BF172" s="657"/>
      <c r="BG172" s="657"/>
      <c r="BH172" s="657"/>
      <c r="BI172" s="657"/>
      <c r="BJ172" s="657"/>
      <c r="BK172" s="657"/>
      <c r="BL172" s="657"/>
      <c r="BM172" s="657"/>
      <c r="BN172" s="657"/>
      <c r="BO172" s="657"/>
      <c r="BP172" s="657"/>
      <c r="BQ172" s="657"/>
      <c r="BR172" s="657"/>
      <c r="BS172" s="657"/>
      <c r="BT172" s="657"/>
      <c r="BU172" s="657"/>
      <c r="BV172" s="657"/>
      <c r="BW172" s="657"/>
      <c r="BX172" s="657"/>
      <c r="BY172" s="657"/>
      <c r="BZ172" s="657"/>
      <c r="CA172" s="657"/>
    </row>
    <row r="173" spans="1:83" ht="15">
      <c r="A173" s="8">
        <f>IF(A154=1,0,1)</f>
        <v>1</v>
      </c>
      <c r="B173" s="277"/>
      <c r="C173" s="657"/>
      <c r="D173" s="657"/>
      <c r="E173" s="657"/>
      <c r="F173" s="657"/>
      <c r="G173" s="657"/>
      <c r="H173" s="657"/>
      <c r="I173" s="657"/>
      <c r="J173" s="657"/>
      <c r="K173" s="657"/>
      <c r="L173" s="657"/>
      <c r="M173" s="657"/>
      <c r="N173" s="657"/>
      <c r="O173" s="657"/>
      <c r="P173" s="657"/>
      <c r="Q173" s="657"/>
      <c r="R173" s="657"/>
      <c r="S173" s="657"/>
      <c r="T173" s="657"/>
      <c r="U173" s="657"/>
      <c r="V173" s="657"/>
      <c r="W173" s="657"/>
      <c r="X173" s="657"/>
      <c r="Y173" s="657"/>
      <c r="Z173" s="657"/>
      <c r="AA173" s="657"/>
      <c r="AB173" s="657"/>
      <c r="AC173" s="657"/>
      <c r="AD173" s="657"/>
      <c r="AE173" s="657"/>
      <c r="AF173" s="657"/>
      <c r="AG173" s="657"/>
      <c r="AH173" s="657"/>
      <c r="AI173" s="657"/>
      <c r="AJ173" s="657"/>
      <c r="AK173" s="657"/>
      <c r="AL173" s="657"/>
      <c r="AM173" s="657"/>
      <c r="AN173" s="657"/>
      <c r="AO173" s="657"/>
      <c r="AP173" s="657"/>
      <c r="AQ173" s="657"/>
      <c r="AR173" s="657"/>
      <c r="AS173" s="657"/>
      <c r="AT173" s="657"/>
      <c r="AU173" s="657"/>
      <c r="AV173" s="657"/>
      <c r="AW173" s="657"/>
      <c r="AX173" s="657"/>
      <c r="AY173" s="657"/>
      <c r="AZ173" s="657"/>
      <c r="BA173" s="657"/>
      <c r="BB173" s="657"/>
      <c r="BC173" s="657"/>
      <c r="BD173" s="657"/>
      <c r="BE173" s="657"/>
      <c r="BF173" s="657"/>
      <c r="BG173" s="657"/>
      <c r="BH173" s="657"/>
      <c r="BI173" s="657"/>
      <c r="BJ173" s="657"/>
      <c r="BK173" s="657"/>
      <c r="BL173" s="657"/>
      <c r="BM173" s="657"/>
      <c r="BN173" s="657"/>
      <c r="BO173" s="657"/>
      <c r="BP173" s="657"/>
      <c r="BQ173" s="657"/>
      <c r="BR173" s="657"/>
      <c r="BS173" s="657"/>
      <c r="BT173" s="657"/>
      <c r="BU173" s="657"/>
      <c r="BV173" s="657"/>
      <c r="BW173" s="657"/>
      <c r="BX173" s="657"/>
      <c r="BY173" s="657"/>
      <c r="BZ173" s="657"/>
      <c r="CA173" s="657"/>
      <c r="CE173" s="3" t="s">
        <v>858</v>
      </c>
    </row>
    <row r="174" spans="1:91" ht="30" customHeight="1">
      <c r="A174" s="8">
        <v>1</v>
      </c>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CM174" s="3" t="s">
        <v>201</v>
      </c>
    </row>
    <row r="175" spans="1:79" ht="19.5" customHeight="1">
      <c r="A175" s="3">
        <v>1</v>
      </c>
      <c r="B175" s="665" t="s">
        <v>897</v>
      </c>
      <c r="C175" s="666"/>
      <c r="D175" s="666"/>
      <c r="E175" s="666"/>
      <c r="F175" s="666"/>
      <c r="G175" s="666"/>
      <c r="H175" s="666"/>
      <c r="I175" s="666"/>
      <c r="J175" s="666"/>
      <c r="K175" s="666"/>
      <c r="L175" s="666"/>
      <c r="M175" s="666"/>
      <c r="N175" s="666"/>
      <c r="O175" s="666"/>
      <c r="P175" s="666"/>
      <c r="Q175" s="666"/>
      <c r="R175" s="666"/>
      <c r="S175" s="666"/>
      <c r="T175" s="666"/>
      <c r="U175" s="666"/>
      <c r="V175" s="666"/>
      <c r="W175" s="666"/>
      <c r="X175" s="666"/>
      <c r="Y175" s="666"/>
      <c r="Z175" s="666"/>
      <c r="AA175" s="666"/>
      <c r="AB175" s="666"/>
      <c r="AC175" s="666"/>
      <c r="AD175" s="666"/>
      <c r="AE175" s="666"/>
      <c r="AF175" s="666"/>
      <c r="AG175" s="666"/>
      <c r="AH175" s="666"/>
      <c r="AI175" s="666"/>
      <c r="AJ175" s="666"/>
      <c r="AK175" s="666"/>
      <c r="AL175" s="666"/>
      <c r="AM175" s="666"/>
      <c r="AN175" s="666"/>
      <c r="AO175" s="666"/>
      <c r="AP175" s="666"/>
      <c r="AQ175" s="666"/>
      <c r="AR175" s="666"/>
      <c r="AS175" s="666"/>
      <c r="AT175" s="666"/>
      <c r="AU175" s="666"/>
      <c r="AV175" s="666"/>
      <c r="AW175" s="666"/>
      <c r="AX175" s="666"/>
      <c r="AY175" s="666"/>
      <c r="AZ175" s="666"/>
      <c r="BA175" s="666"/>
      <c r="BB175" s="666"/>
      <c r="BC175" s="666"/>
      <c r="BD175" s="666"/>
      <c r="BE175" s="666"/>
      <c r="BF175" s="666"/>
      <c r="BG175" s="666"/>
      <c r="BH175" s="666"/>
      <c r="BI175" s="666"/>
      <c r="BJ175" s="666"/>
      <c r="BK175" s="666"/>
      <c r="BL175" s="666"/>
      <c r="BM175" s="666"/>
      <c r="BN175" s="666"/>
      <c r="BO175" s="666"/>
      <c r="BP175" s="666"/>
      <c r="BQ175" s="666"/>
      <c r="BR175" s="666"/>
      <c r="BS175" s="666"/>
      <c r="BT175" s="666"/>
      <c r="BU175" s="664"/>
      <c r="BV175" s="664"/>
      <c r="BW175" s="664"/>
      <c r="BX175" s="664"/>
      <c r="BY175" s="664"/>
      <c r="BZ175" s="664"/>
      <c r="CA175" s="664"/>
    </row>
    <row r="176" spans="1:79" ht="9.75" customHeight="1">
      <c r="A176" s="3">
        <v>1</v>
      </c>
      <c r="B176" s="315"/>
      <c r="C176" s="305"/>
      <c r="D176" s="305"/>
      <c r="E176" s="305"/>
      <c r="F176" s="305"/>
      <c r="G176" s="305"/>
      <c r="H176" s="305"/>
      <c r="I176" s="305"/>
      <c r="J176" s="305"/>
      <c r="K176" s="305"/>
      <c r="L176" s="305"/>
      <c r="M176" s="305"/>
      <c r="N176" s="305"/>
      <c r="O176" s="305"/>
      <c r="P176" s="305"/>
      <c r="Q176" s="305"/>
      <c r="R176" s="305"/>
      <c r="S176" s="305"/>
      <c r="T176" s="305"/>
      <c r="U176" s="305"/>
      <c r="V176" s="305"/>
      <c r="W176" s="305"/>
      <c r="X176" s="305"/>
      <c r="Y176" s="305"/>
      <c r="Z176" s="305"/>
      <c r="AA176" s="305"/>
      <c r="AB176" s="305"/>
      <c r="AC176" s="305"/>
      <c r="AD176" s="305"/>
      <c r="AE176" s="305"/>
      <c r="AF176" s="305"/>
      <c r="AG176" s="305"/>
      <c r="AH176" s="305"/>
      <c r="AI176" s="305"/>
      <c r="AJ176" s="305"/>
      <c r="AK176" s="305"/>
      <c r="AL176" s="305"/>
      <c r="AM176" s="305"/>
      <c r="AN176" s="305"/>
      <c r="AO176" s="305"/>
      <c r="AP176" s="305"/>
      <c r="AQ176" s="305"/>
      <c r="AR176" s="305"/>
      <c r="AS176" s="305"/>
      <c r="AT176" s="305"/>
      <c r="AU176" s="305"/>
      <c r="AV176" s="305"/>
      <c r="AW176" s="305"/>
      <c r="AX176" s="305"/>
      <c r="AY176" s="305"/>
      <c r="AZ176" s="305"/>
      <c r="BA176" s="305"/>
      <c r="BB176" s="305"/>
      <c r="BC176" s="305"/>
      <c r="BD176" s="305"/>
      <c r="BE176" s="305"/>
      <c r="BF176" s="305"/>
      <c r="BG176" s="305"/>
      <c r="BH176" s="305"/>
      <c r="BI176" s="305"/>
      <c r="BJ176" s="305"/>
      <c r="BK176" s="305"/>
      <c r="BL176" s="305"/>
      <c r="BM176" s="305"/>
      <c r="BN176" s="305"/>
      <c r="BO176" s="305"/>
      <c r="BP176" s="305"/>
      <c r="BQ176" s="305"/>
      <c r="BR176" s="305"/>
      <c r="BS176" s="305"/>
      <c r="BT176" s="305"/>
      <c r="BU176" s="8"/>
      <c r="BV176" s="8"/>
      <c r="BW176" s="8"/>
      <c r="BX176" s="8"/>
      <c r="BY176" s="8"/>
      <c r="BZ176" s="8"/>
      <c r="CA176" s="8"/>
    </row>
    <row r="177" spans="1:85" ht="9" customHeight="1">
      <c r="A177" s="8">
        <v>1</v>
      </c>
      <c r="B177" s="8"/>
      <c r="C177" s="8"/>
      <c r="D177" s="8"/>
      <c r="E177" s="8"/>
      <c r="F177" s="8"/>
      <c r="G177" s="8"/>
      <c r="H177" s="8"/>
      <c r="I177" s="8"/>
      <c r="J177" s="8"/>
      <c r="K177" s="8"/>
      <c r="L177" s="8"/>
      <c r="M177" s="8"/>
      <c r="N177" s="8"/>
      <c r="O177" s="289"/>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CC177" s="316" t="str">
        <f>""&amp;CE178&amp;" kWh/m2/anno PRIMA degli interventi"</f>
        <v>150 kWh/m2/anno PRIMA degli interventi</v>
      </c>
      <c r="CG177" s="3" t="str">
        <f>""&amp;CI178&amp;" kWh/m2/anno DOPO gli interventi       "</f>
        <v>123 kWh/m2/anno DOPO gli interventi       </v>
      </c>
    </row>
    <row r="178" spans="1:87" ht="13.5" customHeight="1">
      <c r="A178" s="8">
        <v>1</v>
      </c>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CC178" s="317">
        <f>Simulatore!O23</f>
        <v>150.58869701726846</v>
      </c>
      <c r="CD178" s="318">
        <f>CC178*2</f>
        <v>301.1773940345369</v>
      </c>
      <c r="CE178" s="3">
        <f>FLOOR(CC178,1)</f>
        <v>150</v>
      </c>
      <c r="CG178" s="319">
        <f>Simulatore!U23</f>
        <v>123.46271585557301</v>
      </c>
      <c r="CH178" s="3">
        <f>CG178*2</f>
        <v>246.92543171114602</v>
      </c>
      <c r="CI178" s="3">
        <f>FLOOR(CG178,1)</f>
        <v>123</v>
      </c>
    </row>
    <row r="179" spans="1:87" ht="15">
      <c r="A179" s="8">
        <v>1</v>
      </c>
      <c r="B179" s="8"/>
      <c r="C179" s="271"/>
      <c r="D179" s="320" t="s">
        <v>665</v>
      </c>
      <c r="E179" s="736">
        <v>10</v>
      </c>
      <c r="F179" s="664"/>
      <c r="G179" s="664"/>
      <c r="H179" s="664"/>
      <c r="I179" s="737" t="s">
        <v>666</v>
      </c>
      <c r="J179" s="671"/>
      <c r="K179" s="671"/>
      <c r="L179" s="671"/>
      <c r="M179" s="671"/>
      <c r="N179" s="671"/>
      <c r="O179" s="671"/>
      <c r="P179" s="671"/>
      <c r="Q179" s="671"/>
      <c r="R179" s="289"/>
      <c r="S179" s="289"/>
      <c r="T179" s="735" t="str">
        <f>IF(CE179=$CC$178,$CC$177,IF(CI179=$CG$178,$CG$177,$CE$173))</f>
        <v>                                                                                     </v>
      </c>
      <c r="U179" s="735"/>
      <c r="V179" s="735"/>
      <c r="W179" s="735"/>
      <c r="X179" s="735"/>
      <c r="Y179" s="735"/>
      <c r="Z179" s="735"/>
      <c r="AA179" s="735"/>
      <c r="AB179" s="735"/>
      <c r="AC179" s="735"/>
      <c r="AD179" s="735"/>
      <c r="AE179" s="735"/>
      <c r="AF179" s="735"/>
      <c r="AG179" s="735"/>
      <c r="AH179" s="735"/>
      <c r="AI179" s="735"/>
      <c r="AJ179" s="735"/>
      <c r="AK179" s="735"/>
      <c r="AL179" s="735"/>
      <c r="AM179" s="735"/>
      <c r="AN179" s="735"/>
      <c r="AO179" s="735"/>
      <c r="AP179" s="735"/>
      <c r="AQ179" s="735"/>
      <c r="AR179" s="735"/>
      <c r="AS179" s="735"/>
      <c r="AT179" s="735"/>
      <c r="AU179" s="735"/>
      <c r="AV179" s="735"/>
      <c r="AW179" s="735"/>
      <c r="AX179" s="735"/>
      <c r="AY179" s="735"/>
      <c r="AZ179" s="735"/>
      <c r="BA179" s="735"/>
      <c r="BB179" s="735"/>
      <c r="BC179" s="735"/>
      <c r="BD179" s="735"/>
      <c r="BE179" s="735"/>
      <c r="BF179" s="735"/>
      <c r="BG179" s="735"/>
      <c r="BH179" s="735"/>
      <c r="BN179" s="289"/>
      <c r="BO179" s="8"/>
      <c r="BP179" s="8"/>
      <c r="BQ179" s="8"/>
      <c r="BR179" s="8"/>
      <c r="BS179" s="8"/>
      <c r="BT179" s="8"/>
      <c r="CC179" s="318">
        <f>IF($CC$178&lt;=E179,$CC$178,0)</f>
        <v>0</v>
      </c>
      <c r="CD179" s="318">
        <f>IF($CC$178&gt;E177,$CC$178,0)</f>
        <v>150.58869701726846</v>
      </c>
      <c r="CE179" s="3">
        <f>IF($CD$178=(CC179+CD179),$CC$178,0)</f>
        <v>0</v>
      </c>
      <c r="CG179" s="286">
        <f>IF($CG$178&lt;=E179,$CG$178,0)</f>
        <v>0</v>
      </c>
      <c r="CH179" s="286">
        <f>IF($CG$178&gt;E177,$CG$178,0)</f>
        <v>123.46271585557301</v>
      </c>
      <c r="CI179" s="3">
        <f>IF($CH$178=(CG179+CH179),$CG$178,0)</f>
        <v>0</v>
      </c>
    </row>
    <row r="180" spans="1:83" ht="3" customHeight="1">
      <c r="A180" s="8">
        <v>1</v>
      </c>
      <c r="B180" s="8"/>
      <c r="C180" s="271"/>
      <c r="D180" s="320"/>
      <c r="E180" s="290"/>
      <c r="I180" s="290"/>
      <c r="J180" s="290"/>
      <c r="K180" s="290"/>
      <c r="L180" s="290"/>
      <c r="M180" s="289"/>
      <c r="N180" s="289"/>
      <c r="O180" s="289"/>
      <c r="P180" s="289"/>
      <c r="Q180" s="289"/>
      <c r="R180" s="289"/>
      <c r="S180" s="289"/>
      <c r="T180" s="289"/>
      <c r="U180" s="289"/>
      <c r="V180" s="289"/>
      <c r="W180" s="289"/>
      <c r="X180" s="289"/>
      <c r="Y180" s="289"/>
      <c r="Z180" s="289"/>
      <c r="AA180" s="289"/>
      <c r="AB180" s="735"/>
      <c r="AC180" s="735"/>
      <c r="AD180" s="735"/>
      <c r="AE180" s="735"/>
      <c r="AF180" s="735"/>
      <c r="AG180" s="735"/>
      <c r="AH180" s="735"/>
      <c r="AI180" s="735"/>
      <c r="AJ180" s="735"/>
      <c r="AK180" s="735"/>
      <c r="AL180" s="735"/>
      <c r="AM180" s="735"/>
      <c r="AN180" s="735"/>
      <c r="AO180" s="735"/>
      <c r="AP180" s="735"/>
      <c r="AQ180" s="735"/>
      <c r="AR180" s="735"/>
      <c r="AS180" s="735"/>
      <c r="AT180" s="735"/>
      <c r="AU180" s="735"/>
      <c r="AV180" s="735"/>
      <c r="AW180" s="735"/>
      <c r="AX180" s="735"/>
      <c r="AY180" s="735"/>
      <c r="AZ180" s="735"/>
      <c r="BA180" s="735"/>
      <c r="BB180" s="735"/>
      <c r="BC180" s="735"/>
      <c r="BD180" s="735"/>
      <c r="BE180" s="735"/>
      <c r="BF180" s="735"/>
      <c r="BG180" s="735"/>
      <c r="BH180" s="735"/>
      <c r="BI180" s="735"/>
      <c r="BJ180" s="735"/>
      <c r="BK180" s="735"/>
      <c r="BL180" s="735"/>
      <c r="BM180" s="735"/>
      <c r="BN180" s="735"/>
      <c r="BO180" s="735"/>
      <c r="BP180" s="735"/>
      <c r="BQ180" s="8"/>
      <c r="BR180" s="8"/>
      <c r="BS180" s="8"/>
      <c r="BT180" s="8"/>
      <c r="CC180" s="318"/>
      <c r="CD180" s="318"/>
      <c r="CE180" s="318"/>
    </row>
    <row r="181" spans="1:87" ht="15">
      <c r="A181" s="8">
        <v>1</v>
      </c>
      <c r="B181" s="8"/>
      <c r="C181" s="271"/>
      <c r="D181" s="320" t="s">
        <v>665</v>
      </c>
      <c r="E181" s="736">
        <v>30</v>
      </c>
      <c r="F181" s="664"/>
      <c r="G181" s="664"/>
      <c r="H181" s="664"/>
      <c r="I181" s="737" t="s">
        <v>667</v>
      </c>
      <c r="J181" s="660"/>
      <c r="K181" s="660"/>
      <c r="L181" s="660"/>
      <c r="M181" s="660"/>
      <c r="N181" s="660"/>
      <c r="O181" s="660"/>
      <c r="P181" s="660"/>
      <c r="Q181" s="660"/>
      <c r="R181" s="660"/>
      <c r="S181" s="660"/>
      <c r="T181" s="278"/>
      <c r="U181" s="278"/>
      <c r="V181" s="735" t="str">
        <f>IF(CE181=$CC$178,$CC$177,IF(CI181=$CG$178,$CG$177,$CE$173))</f>
        <v>                                                                                     </v>
      </c>
      <c r="W181" s="735"/>
      <c r="X181" s="735"/>
      <c r="Y181" s="735"/>
      <c r="Z181" s="735"/>
      <c r="AA181" s="735"/>
      <c r="AB181" s="735"/>
      <c r="AC181" s="735"/>
      <c r="AD181" s="735"/>
      <c r="AE181" s="735"/>
      <c r="AF181" s="735"/>
      <c r="AG181" s="735"/>
      <c r="AH181" s="735"/>
      <c r="AI181" s="735"/>
      <c r="AJ181" s="735"/>
      <c r="AK181" s="735"/>
      <c r="AL181" s="735"/>
      <c r="AM181" s="735"/>
      <c r="AN181" s="735"/>
      <c r="AO181" s="735"/>
      <c r="AP181" s="735"/>
      <c r="AQ181" s="735"/>
      <c r="AR181" s="735"/>
      <c r="AS181" s="735"/>
      <c r="AT181" s="735"/>
      <c r="AU181" s="735"/>
      <c r="AV181" s="735"/>
      <c r="AW181" s="735"/>
      <c r="AX181" s="735"/>
      <c r="AY181" s="735"/>
      <c r="AZ181" s="735"/>
      <c r="BA181" s="735"/>
      <c r="BB181" s="735"/>
      <c r="BC181" s="735"/>
      <c r="BD181" s="735"/>
      <c r="BE181" s="735"/>
      <c r="BF181" s="735"/>
      <c r="BG181" s="735"/>
      <c r="BH181" s="735"/>
      <c r="BI181" s="735"/>
      <c r="BJ181" s="735"/>
      <c r="BN181" s="289"/>
      <c r="BO181" s="8"/>
      <c r="BP181" s="8"/>
      <c r="BQ181" s="8"/>
      <c r="BR181" s="8"/>
      <c r="BS181" s="8"/>
      <c r="BT181" s="8"/>
      <c r="CC181" s="318">
        <f>IF($CC$178&lt;=E181,$CC$178,0)</f>
        <v>0</v>
      </c>
      <c r="CD181" s="318">
        <f>IF($CC$178&gt;E179,$CC$178,0)</f>
        <v>150.58869701726846</v>
      </c>
      <c r="CE181" s="3">
        <f>IF($CD$178=(CC181+CD181),$CC$178,0)</f>
        <v>0</v>
      </c>
      <c r="CG181" s="286">
        <f>IF($CG$178&lt;=E181,$CG$178,0)</f>
        <v>0</v>
      </c>
      <c r="CH181" s="286">
        <f>IF($CG$178&gt;E179,$CG$178,0)</f>
        <v>123.46271585557301</v>
      </c>
      <c r="CI181" s="3">
        <f>IF($CH$178=(CG181+CH181),$CG$178,0)</f>
        <v>0</v>
      </c>
    </row>
    <row r="182" spans="1:83" ht="3" customHeight="1">
      <c r="A182" s="8">
        <v>1</v>
      </c>
      <c r="B182" s="8"/>
      <c r="C182" s="271"/>
      <c r="D182" s="320"/>
      <c r="E182" s="290"/>
      <c r="I182" s="290"/>
      <c r="J182" s="290"/>
      <c r="K182" s="290"/>
      <c r="L182" s="290"/>
      <c r="M182" s="290"/>
      <c r="N182" s="290"/>
      <c r="O182" s="289"/>
      <c r="P182" s="289"/>
      <c r="Q182" s="289"/>
      <c r="R182" s="289"/>
      <c r="S182" s="289"/>
      <c r="T182" s="289"/>
      <c r="U182" s="289"/>
      <c r="V182" s="289"/>
      <c r="W182" s="289"/>
      <c r="X182" s="289"/>
      <c r="Y182" s="289"/>
      <c r="Z182" s="289"/>
      <c r="AA182" s="289"/>
      <c r="AB182" s="289"/>
      <c r="AC182" s="289"/>
      <c r="AD182" s="278"/>
      <c r="AE182" s="278"/>
      <c r="AF182" s="278"/>
      <c r="AG182" s="278"/>
      <c r="AH182" s="278"/>
      <c r="AI182" s="278"/>
      <c r="AJ182" s="278"/>
      <c r="AK182" s="278"/>
      <c r="AL182" s="278"/>
      <c r="AM182" s="278"/>
      <c r="AN182" s="278"/>
      <c r="AO182" s="278"/>
      <c r="AP182" s="278"/>
      <c r="AQ182" s="278"/>
      <c r="AR182" s="278"/>
      <c r="AS182" s="278"/>
      <c r="AT182" s="278"/>
      <c r="AU182" s="278"/>
      <c r="AV182" s="278"/>
      <c r="AW182" s="278"/>
      <c r="AX182" s="278"/>
      <c r="AY182" s="278"/>
      <c r="AZ182" s="278"/>
      <c r="BA182" s="278"/>
      <c r="BN182" s="289"/>
      <c r="BO182" s="8"/>
      <c r="BP182" s="8"/>
      <c r="BQ182" s="8"/>
      <c r="BR182" s="8"/>
      <c r="BS182" s="8"/>
      <c r="BT182" s="8"/>
      <c r="CC182" s="318"/>
      <c r="CD182" s="318"/>
      <c r="CE182" s="318"/>
    </row>
    <row r="183" spans="1:87" ht="15">
      <c r="A183" s="8">
        <v>1</v>
      </c>
      <c r="B183" s="8"/>
      <c r="C183" s="271"/>
      <c r="D183" s="320" t="s">
        <v>665</v>
      </c>
      <c r="E183" s="736">
        <v>50</v>
      </c>
      <c r="F183" s="664"/>
      <c r="G183" s="664"/>
      <c r="H183" s="664"/>
      <c r="I183" s="737" t="s">
        <v>663</v>
      </c>
      <c r="J183" s="660"/>
      <c r="K183" s="660"/>
      <c r="L183" s="660"/>
      <c r="M183" s="660"/>
      <c r="N183" s="660"/>
      <c r="O183" s="660"/>
      <c r="P183" s="660"/>
      <c r="Q183" s="660"/>
      <c r="R183" s="660"/>
      <c r="S183" s="660"/>
      <c r="T183" s="660"/>
      <c r="U183" s="660"/>
      <c r="V183" s="278"/>
      <c r="W183" s="278"/>
      <c r="X183" s="735" t="str">
        <f>IF(CE183=$CC$178,$CC$177,IF(CI183=$CG$178,$CG$177,$CE$173))</f>
        <v>                                                                                     </v>
      </c>
      <c r="Y183" s="735"/>
      <c r="Z183" s="735"/>
      <c r="AA183" s="735"/>
      <c r="AB183" s="735"/>
      <c r="AC183" s="735"/>
      <c r="AD183" s="735"/>
      <c r="AE183" s="735"/>
      <c r="AF183" s="735"/>
      <c r="AG183" s="735"/>
      <c r="AH183" s="735"/>
      <c r="AI183" s="735"/>
      <c r="AJ183" s="735"/>
      <c r="AK183" s="735"/>
      <c r="AL183" s="735"/>
      <c r="AM183" s="735"/>
      <c r="AN183" s="735"/>
      <c r="AO183" s="735"/>
      <c r="AP183" s="735"/>
      <c r="AQ183" s="735"/>
      <c r="AR183" s="735"/>
      <c r="AS183" s="735"/>
      <c r="AT183" s="735"/>
      <c r="AU183" s="735"/>
      <c r="AV183" s="735"/>
      <c r="AW183" s="735"/>
      <c r="AX183" s="735"/>
      <c r="AY183" s="735"/>
      <c r="AZ183" s="735"/>
      <c r="BA183" s="735"/>
      <c r="BB183" s="735"/>
      <c r="BC183" s="735"/>
      <c r="BD183" s="735"/>
      <c r="BE183" s="735"/>
      <c r="BF183" s="735"/>
      <c r="BG183" s="735"/>
      <c r="BH183" s="735"/>
      <c r="BI183" s="735"/>
      <c r="BJ183" s="735"/>
      <c r="BK183" s="735"/>
      <c r="BL183" s="735"/>
      <c r="BN183" s="289"/>
      <c r="BO183" s="8"/>
      <c r="BP183" s="8"/>
      <c r="BQ183" s="8"/>
      <c r="BR183" s="8"/>
      <c r="BS183" s="8"/>
      <c r="BT183" s="8"/>
      <c r="CC183" s="318">
        <f>IF($CC$178&lt;=E183,$CC$178,0)</f>
        <v>0</v>
      </c>
      <c r="CD183" s="318">
        <f>IF($CC$178&gt;E181,$CC$178,0)</f>
        <v>150.58869701726846</v>
      </c>
      <c r="CE183" s="3">
        <f>IF($CD$178=(CC183+CD183),$CC$178,0)</f>
        <v>0</v>
      </c>
      <c r="CG183" s="286">
        <f>IF($CG$178&lt;=E183,$CG$178,0)</f>
        <v>0</v>
      </c>
      <c r="CH183" s="286">
        <f>IF($CG$178&gt;E181,$CG$178,0)</f>
        <v>123.46271585557301</v>
      </c>
      <c r="CI183" s="3">
        <f>IF($CH$178=(CG183+CH183),$CG$178,0)</f>
        <v>0</v>
      </c>
    </row>
    <row r="184" spans="1:83" ht="3" customHeight="1">
      <c r="A184" s="8">
        <v>1</v>
      </c>
      <c r="B184" s="8"/>
      <c r="C184" s="271"/>
      <c r="D184" s="320"/>
      <c r="E184" s="290"/>
      <c r="I184" s="290"/>
      <c r="J184" s="290"/>
      <c r="K184" s="290"/>
      <c r="L184" s="290"/>
      <c r="M184" s="290"/>
      <c r="N184" s="290"/>
      <c r="O184" s="290"/>
      <c r="P184" s="290"/>
      <c r="Q184" s="289"/>
      <c r="R184" s="289"/>
      <c r="S184" s="289"/>
      <c r="T184" s="289"/>
      <c r="U184" s="289"/>
      <c r="V184" s="289"/>
      <c r="W184" s="289"/>
      <c r="X184" s="289"/>
      <c r="Y184" s="289"/>
      <c r="Z184" s="289"/>
      <c r="AA184" s="289"/>
      <c r="AB184" s="289"/>
      <c r="AC184" s="290"/>
      <c r="AD184" s="278"/>
      <c r="AE184" s="278"/>
      <c r="AF184" s="278"/>
      <c r="AG184" s="278"/>
      <c r="AH184" s="278"/>
      <c r="AI184" s="278"/>
      <c r="AJ184" s="278"/>
      <c r="AK184" s="278"/>
      <c r="AL184" s="278"/>
      <c r="AM184" s="278"/>
      <c r="AN184" s="278"/>
      <c r="AO184" s="278"/>
      <c r="AP184" s="278"/>
      <c r="AQ184" s="278"/>
      <c r="AR184" s="278"/>
      <c r="AS184" s="278"/>
      <c r="AT184" s="278"/>
      <c r="AU184" s="278"/>
      <c r="AV184" s="278"/>
      <c r="AW184" s="278"/>
      <c r="AX184" s="278"/>
      <c r="AY184" s="278"/>
      <c r="AZ184" s="278"/>
      <c r="BA184" s="278"/>
      <c r="BN184" s="289"/>
      <c r="BO184" s="8"/>
      <c r="BP184" s="8"/>
      <c r="BQ184" s="8"/>
      <c r="BR184" s="8"/>
      <c r="BS184" s="8"/>
      <c r="BT184" s="8"/>
      <c r="CC184" s="318"/>
      <c r="CD184" s="318"/>
      <c r="CE184" s="318"/>
    </row>
    <row r="185" spans="1:87" ht="15">
      <c r="A185" s="8">
        <v>1</v>
      </c>
      <c r="B185" s="8"/>
      <c r="C185" s="271"/>
      <c r="D185" s="320" t="s">
        <v>665</v>
      </c>
      <c r="E185" s="736">
        <v>70</v>
      </c>
      <c r="F185" s="664"/>
      <c r="G185" s="664"/>
      <c r="H185" s="664"/>
      <c r="I185" s="737" t="s">
        <v>668</v>
      </c>
      <c r="J185" s="660"/>
      <c r="K185" s="660"/>
      <c r="L185" s="660"/>
      <c r="M185" s="660"/>
      <c r="N185" s="660"/>
      <c r="O185" s="660"/>
      <c r="P185" s="660"/>
      <c r="Q185" s="660"/>
      <c r="R185" s="660"/>
      <c r="S185" s="660"/>
      <c r="T185" s="660"/>
      <c r="U185" s="660"/>
      <c r="V185" s="660"/>
      <c r="W185" s="660"/>
      <c r="X185" s="278"/>
      <c r="Y185" s="278"/>
      <c r="Z185" s="735" t="str">
        <f>IF(CE185=$CC$178,$CC$177,IF(CI185=$CG$178,$CG$177,$CE$173))</f>
        <v>                                                                                     </v>
      </c>
      <c r="AA185" s="735"/>
      <c r="AB185" s="735"/>
      <c r="AC185" s="735"/>
      <c r="AD185" s="735"/>
      <c r="AE185" s="735"/>
      <c r="AF185" s="735"/>
      <c r="AG185" s="735"/>
      <c r="AH185" s="735"/>
      <c r="AI185" s="735"/>
      <c r="AJ185" s="735"/>
      <c r="AK185" s="735"/>
      <c r="AL185" s="735"/>
      <c r="AM185" s="735"/>
      <c r="AN185" s="735"/>
      <c r="AO185" s="735"/>
      <c r="AP185" s="735"/>
      <c r="AQ185" s="735"/>
      <c r="AR185" s="735"/>
      <c r="AS185" s="735"/>
      <c r="AT185" s="735"/>
      <c r="AU185" s="735"/>
      <c r="AV185" s="735"/>
      <c r="AW185" s="735"/>
      <c r="AX185" s="735"/>
      <c r="AY185" s="735"/>
      <c r="AZ185" s="735"/>
      <c r="BA185" s="735"/>
      <c r="BB185" s="735"/>
      <c r="BC185" s="735"/>
      <c r="BD185" s="735"/>
      <c r="BE185" s="735"/>
      <c r="BF185" s="735"/>
      <c r="BG185" s="735"/>
      <c r="BH185" s="735"/>
      <c r="BI185" s="735"/>
      <c r="BJ185" s="735"/>
      <c r="BK185" s="735"/>
      <c r="BL185" s="735"/>
      <c r="BM185" s="735"/>
      <c r="BN185" s="735"/>
      <c r="BO185" s="8"/>
      <c r="BP185" s="8"/>
      <c r="BQ185" s="8"/>
      <c r="BR185" s="8"/>
      <c r="BS185" s="8"/>
      <c r="BT185" s="8"/>
      <c r="CC185" s="318">
        <f>IF($CC$178&lt;=E185,$CC$178,0)</f>
        <v>0</v>
      </c>
      <c r="CD185" s="318">
        <f>IF($CC$178&gt;E183,$CC$178,0)</f>
        <v>150.58869701726846</v>
      </c>
      <c r="CE185" s="3">
        <f>IF($CD$178=(CC185+CD185),$CC$178,0)</f>
        <v>0</v>
      </c>
      <c r="CG185" s="286">
        <f>IF($CG$178&lt;=E185,$CG$178,0)</f>
        <v>0</v>
      </c>
      <c r="CH185" s="286">
        <f>IF($CG$178&gt;E183,$CG$178,0)</f>
        <v>123.46271585557301</v>
      </c>
      <c r="CI185" s="3">
        <f>IF($CH$178=(CG185+CH185),$CG$178,0)</f>
        <v>0</v>
      </c>
    </row>
    <row r="186" spans="1:83" ht="3" customHeight="1">
      <c r="A186" s="8">
        <v>1</v>
      </c>
      <c r="B186" s="8"/>
      <c r="C186" s="271"/>
      <c r="D186" s="320"/>
      <c r="E186" s="321"/>
      <c r="I186" s="291"/>
      <c r="J186" s="291"/>
      <c r="K186" s="291"/>
      <c r="L186" s="291"/>
      <c r="M186" s="291"/>
      <c r="N186" s="291"/>
      <c r="O186" s="291"/>
      <c r="P186" s="291"/>
      <c r="Q186" s="291"/>
      <c r="R186" s="291"/>
      <c r="S186" s="289"/>
      <c r="T186" s="289"/>
      <c r="U186" s="289"/>
      <c r="V186" s="289"/>
      <c r="W186" s="289"/>
      <c r="X186" s="289"/>
      <c r="Y186" s="289"/>
      <c r="Z186" s="289"/>
      <c r="AA186" s="289"/>
      <c r="AB186" s="289"/>
      <c r="AC186" s="289"/>
      <c r="AD186" s="278"/>
      <c r="AE186" s="278"/>
      <c r="AF186" s="278"/>
      <c r="AG186" s="278"/>
      <c r="AH186" s="278"/>
      <c r="AI186" s="278"/>
      <c r="AJ186" s="278"/>
      <c r="AK186" s="278"/>
      <c r="AL186" s="278"/>
      <c r="AM186" s="278"/>
      <c r="AN186" s="278"/>
      <c r="AO186" s="278"/>
      <c r="AP186" s="278"/>
      <c r="AQ186" s="278"/>
      <c r="AR186" s="278"/>
      <c r="AS186" s="278"/>
      <c r="AT186" s="278"/>
      <c r="AU186" s="278"/>
      <c r="AV186" s="278"/>
      <c r="AW186" s="278"/>
      <c r="AX186" s="278"/>
      <c r="AY186" s="278"/>
      <c r="AZ186" s="278"/>
      <c r="BA186" s="278"/>
      <c r="BN186" s="289"/>
      <c r="BO186" s="8"/>
      <c r="BP186" s="8"/>
      <c r="BQ186" s="8"/>
      <c r="BR186" s="8"/>
      <c r="BS186" s="8"/>
      <c r="BT186" s="8"/>
      <c r="CC186" s="318"/>
      <c r="CD186" s="318"/>
      <c r="CE186" s="318"/>
    </row>
    <row r="187" spans="1:87" ht="15">
      <c r="A187" s="8">
        <v>1</v>
      </c>
      <c r="B187" s="8"/>
      <c r="C187" s="271"/>
      <c r="D187" s="320" t="s">
        <v>665</v>
      </c>
      <c r="E187" s="736">
        <v>90</v>
      </c>
      <c r="F187" s="664"/>
      <c r="G187" s="664"/>
      <c r="H187" s="664"/>
      <c r="I187" s="737" t="s">
        <v>664</v>
      </c>
      <c r="J187" s="660"/>
      <c r="K187" s="660"/>
      <c r="L187" s="660"/>
      <c r="M187" s="660"/>
      <c r="N187" s="660"/>
      <c r="O187" s="660"/>
      <c r="P187" s="660"/>
      <c r="Q187" s="660"/>
      <c r="R187" s="660"/>
      <c r="S187" s="660"/>
      <c r="T187" s="660"/>
      <c r="U187" s="660"/>
      <c r="V187" s="660"/>
      <c r="W187" s="660"/>
      <c r="X187" s="660"/>
      <c r="Y187" s="660"/>
      <c r="Z187" s="278"/>
      <c r="AA187" s="278"/>
      <c r="AB187" s="735" t="str">
        <f>IF(CE187=$CC$178,$CC$177,IF(CI187=$CG$178,$CG$177,$CE$173))</f>
        <v>                                                                                     </v>
      </c>
      <c r="AC187" s="735"/>
      <c r="AD187" s="735"/>
      <c r="AE187" s="735"/>
      <c r="AF187" s="735"/>
      <c r="AG187" s="735"/>
      <c r="AH187" s="735"/>
      <c r="AI187" s="735"/>
      <c r="AJ187" s="735"/>
      <c r="AK187" s="735"/>
      <c r="AL187" s="735"/>
      <c r="AM187" s="735"/>
      <c r="AN187" s="735"/>
      <c r="AO187" s="735"/>
      <c r="AP187" s="735"/>
      <c r="AQ187" s="735"/>
      <c r="AR187" s="735"/>
      <c r="AS187" s="735"/>
      <c r="AT187" s="735"/>
      <c r="AU187" s="735"/>
      <c r="AV187" s="735"/>
      <c r="AW187" s="735"/>
      <c r="AX187" s="735"/>
      <c r="AY187" s="735"/>
      <c r="AZ187" s="735"/>
      <c r="BA187" s="735"/>
      <c r="BB187" s="735"/>
      <c r="BC187" s="735"/>
      <c r="BD187" s="735"/>
      <c r="BE187" s="735"/>
      <c r="BF187" s="735"/>
      <c r="BG187" s="735"/>
      <c r="BH187" s="735"/>
      <c r="BI187" s="735"/>
      <c r="BJ187" s="735"/>
      <c r="BK187" s="735"/>
      <c r="BL187" s="735"/>
      <c r="BM187" s="735"/>
      <c r="BN187" s="735"/>
      <c r="BO187" s="735"/>
      <c r="BP187" s="735"/>
      <c r="BQ187" s="8"/>
      <c r="BR187" s="8"/>
      <c r="BS187" s="8"/>
      <c r="BT187" s="8"/>
      <c r="CC187" s="318">
        <f>IF($CC$178&lt;=E187,$CC$178,0)</f>
        <v>0</v>
      </c>
      <c r="CD187" s="318">
        <f>IF($CC$178&gt;E185,$CC$178,0)</f>
        <v>150.58869701726846</v>
      </c>
      <c r="CE187" s="3">
        <f>IF($CD$178=(CC187+CD187),$CC$178,0)</f>
        <v>0</v>
      </c>
      <c r="CG187" s="286">
        <f>IF($CG$178&lt;=E187,$CG$178,0)</f>
        <v>0</v>
      </c>
      <c r="CH187" s="286">
        <f>IF($CG$178&gt;E185,$CG$178,0)</f>
        <v>123.46271585557301</v>
      </c>
      <c r="CI187" s="3">
        <f>IF($CH$178=(CG187+CH187),$CG$178,0)</f>
        <v>0</v>
      </c>
    </row>
    <row r="188" spans="1:83" ht="3" customHeight="1">
      <c r="A188" s="8">
        <v>1</v>
      </c>
      <c r="B188" s="8"/>
      <c r="C188" s="271"/>
      <c r="D188" s="320"/>
      <c r="E188" s="321"/>
      <c r="I188" s="291"/>
      <c r="J188" s="291"/>
      <c r="K188" s="291"/>
      <c r="L188" s="291"/>
      <c r="M188" s="291"/>
      <c r="N188" s="291"/>
      <c r="O188" s="291"/>
      <c r="P188" s="291"/>
      <c r="Q188" s="291"/>
      <c r="R188" s="291"/>
      <c r="S188" s="291"/>
      <c r="T188" s="291"/>
      <c r="U188" s="289"/>
      <c r="V188" s="289"/>
      <c r="W188" s="289"/>
      <c r="X188" s="289"/>
      <c r="Y188" s="289"/>
      <c r="Z188" s="289"/>
      <c r="AA188" s="289"/>
      <c r="AB188" s="289"/>
      <c r="AC188" s="291"/>
      <c r="AD188" s="278"/>
      <c r="AE188" s="278"/>
      <c r="AF188" s="278"/>
      <c r="AG188" s="278"/>
      <c r="AH188" s="278"/>
      <c r="AI188" s="278"/>
      <c r="AJ188" s="278"/>
      <c r="AK188" s="278"/>
      <c r="AL188" s="278"/>
      <c r="AM188" s="278"/>
      <c r="AN188" s="278"/>
      <c r="AO188" s="278"/>
      <c r="AP188" s="278"/>
      <c r="AQ188" s="278"/>
      <c r="AR188" s="278"/>
      <c r="AS188" s="278"/>
      <c r="AT188" s="278"/>
      <c r="AU188" s="278"/>
      <c r="AV188" s="278"/>
      <c r="AW188" s="278"/>
      <c r="AX188" s="278"/>
      <c r="AY188" s="278"/>
      <c r="AZ188" s="278"/>
      <c r="BA188" s="278"/>
      <c r="BN188" s="289"/>
      <c r="BO188" s="8"/>
      <c r="BP188" s="8"/>
      <c r="BQ188" s="8"/>
      <c r="BR188" s="8"/>
      <c r="BS188" s="8"/>
      <c r="BT188" s="8"/>
      <c r="CC188" s="318"/>
      <c r="CD188" s="318"/>
      <c r="CE188" s="318"/>
    </row>
    <row r="189" spans="1:87" ht="15">
      <c r="A189" s="8">
        <v>1</v>
      </c>
      <c r="B189" s="8"/>
      <c r="C189" s="271"/>
      <c r="D189" s="320" t="s">
        <v>665</v>
      </c>
      <c r="E189" s="736">
        <v>120</v>
      </c>
      <c r="F189" s="664"/>
      <c r="G189" s="664"/>
      <c r="H189" s="664"/>
      <c r="I189" s="737" t="s">
        <v>669</v>
      </c>
      <c r="J189" s="660"/>
      <c r="K189" s="660"/>
      <c r="L189" s="660"/>
      <c r="M189" s="660"/>
      <c r="N189" s="660"/>
      <c r="O189" s="660"/>
      <c r="P189" s="660"/>
      <c r="Q189" s="660"/>
      <c r="R189" s="660"/>
      <c r="S189" s="660"/>
      <c r="T189" s="660"/>
      <c r="U189" s="660"/>
      <c r="V189" s="660"/>
      <c r="W189" s="660"/>
      <c r="X189" s="660"/>
      <c r="Y189" s="660"/>
      <c r="Z189" s="660"/>
      <c r="AA189" s="660"/>
      <c r="AB189" s="278"/>
      <c r="AC189" s="278"/>
      <c r="AD189" s="735" t="str">
        <f>IF(CE189=$CC$178,$CC$177,IF(CI189=$CG$178,$CG$177,$CE$173))</f>
        <v>                                                                                     </v>
      </c>
      <c r="AE189" s="735"/>
      <c r="AF189" s="735"/>
      <c r="AG189" s="735"/>
      <c r="AH189" s="735"/>
      <c r="AI189" s="735"/>
      <c r="AJ189" s="735"/>
      <c r="AK189" s="735"/>
      <c r="AL189" s="735"/>
      <c r="AM189" s="735"/>
      <c r="AN189" s="735"/>
      <c r="AO189" s="735"/>
      <c r="AP189" s="735"/>
      <c r="AQ189" s="735"/>
      <c r="AR189" s="735"/>
      <c r="AS189" s="735"/>
      <c r="AT189" s="735"/>
      <c r="AU189" s="735"/>
      <c r="AV189" s="735"/>
      <c r="AW189" s="735"/>
      <c r="AX189" s="735"/>
      <c r="AY189" s="735"/>
      <c r="AZ189" s="735"/>
      <c r="BA189" s="735"/>
      <c r="BB189" s="735"/>
      <c r="BC189" s="735"/>
      <c r="BD189" s="735"/>
      <c r="BE189" s="735"/>
      <c r="BF189" s="735"/>
      <c r="BG189" s="735"/>
      <c r="BH189" s="735"/>
      <c r="BI189" s="735"/>
      <c r="BJ189" s="735"/>
      <c r="BK189" s="735"/>
      <c r="BL189" s="735"/>
      <c r="BM189" s="735"/>
      <c r="BN189" s="735"/>
      <c r="BO189" s="735"/>
      <c r="BP189" s="735"/>
      <c r="BQ189" s="735"/>
      <c r="BR189" s="735"/>
      <c r="BS189" s="8"/>
      <c r="BT189" s="8"/>
      <c r="CC189" s="318">
        <f>IF($CC$178&lt;=E189,$CC$178,0)</f>
        <v>0</v>
      </c>
      <c r="CD189" s="318">
        <f>IF($CC$178&gt;E187,$CC$178,0)</f>
        <v>150.58869701726846</v>
      </c>
      <c r="CE189" s="3">
        <f>IF($CD$178=(CC189+CD189),$CC$178,0)</f>
        <v>0</v>
      </c>
      <c r="CG189" s="286">
        <f>IF($CG$178&lt;=E189,$CG$178,0)</f>
        <v>0</v>
      </c>
      <c r="CH189" s="286">
        <f>IF($CG$178&gt;E187,$CG$178,0)</f>
        <v>123.46271585557301</v>
      </c>
      <c r="CI189" s="3">
        <f>IF($CH$178=(CG189+CH189),$CG$178,0)</f>
        <v>0</v>
      </c>
    </row>
    <row r="190" spans="1:83" ht="3" customHeight="1">
      <c r="A190" s="8">
        <v>1</v>
      </c>
      <c r="B190" s="8"/>
      <c r="C190" s="271"/>
      <c r="D190" s="320"/>
      <c r="E190" s="321"/>
      <c r="I190" s="291"/>
      <c r="J190" s="291"/>
      <c r="K190" s="291"/>
      <c r="L190" s="291"/>
      <c r="M190" s="291"/>
      <c r="N190" s="291"/>
      <c r="O190" s="291"/>
      <c r="P190" s="291"/>
      <c r="Q190" s="291"/>
      <c r="R190" s="291"/>
      <c r="S190" s="291"/>
      <c r="T190" s="291"/>
      <c r="U190" s="291"/>
      <c r="V190" s="291"/>
      <c r="W190" s="289"/>
      <c r="X190" s="289"/>
      <c r="Y190" s="289"/>
      <c r="Z190" s="289"/>
      <c r="AA190" s="289"/>
      <c r="AB190" s="289"/>
      <c r="AC190" s="291"/>
      <c r="AD190" s="278"/>
      <c r="AE190" s="278"/>
      <c r="AF190" s="278"/>
      <c r="AG190" s="278"/>
      <c r="AH190" s="278"/>
      <c r="AI190" s="278"/>
      <c r="AJ190" s="278"/>
      <c r="AK190" s="278"/>
      <c r="AL190" s="278"/>
      <c r="AM190" s="278"/>
      <c r="AN190" s="278"/>
      <c r="AO190" s="278"/>
      <c r="AP190" s="278"/>
      <c r="AQ190" s="278"/>
      <c r="AR190" s="278"/>
      <c r="AS190" s="278"/>
      <c r="AT190" s="278"/>
      <c r="AU190" s="278"/>
      <c r="AV190" s="278"/>
      <c r="AW190" s="278"/>
      <c r="AX190" s="278"/>
      <c r="AY190" s="278"/>
      <c r="AZ190" s="278"/>
      <c r="BA190" s="278"/>
      <c r="BN190" s="289"/>
      <c r="BO190" s="8"/>
      <c r="BP190" s="8"/>
      <c r="BQ190" s="8"/>
      <c r="BR190" s="8"/>
      <c r="BS190" s="8"/>
      <c r="BT190" s="8"/>
      <c r="CC190" s="318"/>
      <c r="CD190" s="318"/>
      <c r="CE190" s="318"/>
    </row>
    <row r="191" spans="1:87" ht="15">
      <c r="A191" s="8">
        <v>1</v>
      </c>
      <c r="B191" s="8"/>
      <c r="C191" s="271"/>
      <c r="D191" s="320" t="s">
        <v>665</v>
      </c>
      <c r="E191" s="736">
        <v>160</v>
      </c>
      <c r="F191" s="664"/>
      <c r="G191" s="664"/>
      <c r="H191" s="664"/>
      <c r="I191" s="737" t="s">
        <v>23</v>
      </c>
      <c r="J191" s="660"/>
      <c r="K191" s="660"/>
      <c r="L191" s="660"/>
      <c r="M191" s="660"/>
      <c r="N191" s="660"/>
      <c r="O191" s="660"/>
      <c r="P191" s="660"/>
      <c r="Q191" s="660"/>
      <c r="R191" s="660"/>
      <c r="S191" s="660"/>
      <c r="T191" s="660"/>
      <c r="U191" s="660"/>
      <c r="V191" s="660"/>
      <c r="W191" s="660"/>
      <c r="X191" s="660"/>
      <c r="Y191" s="660"/>
      <c r="Z191" s="660"/>
      <c r="AA191" s="660"/>
      <c r="AB191" s="660"/>
      <c r="AC191" s="660"/>
      <c r="AD191" s="278"/>
      <c r="AE191" s="278"/>
      <c r="AF191" s="735" t="str">
        <f>IF(CE191=$CC$178,$CC$177,IF(CI191=$CG$178,$CG$177,$CE$173))</f>
        <v>150 kWh/m2/anno PRIMA degli interventi</v>
      </c>
      <c r="AG191" s="735"/>
      <c r="AH191" s="735"/>
      <c r="AI191" s="735"/>
      <c r="AJ191" s="735"/>
      <c r="AK191" s="735"/>
      <c r="AL191" s="735"/>
      <c r="AM191" s="735"/>
      <c r="AN191" s="735"/>
      <c r="AO191" s="735"/>
      <c r="AP191" s="735"/>
      <c r="AQ191" s="735"/>
      <c r="AR191" s="735"/>
      <c r="AS191" s="735"/>
      <c r="AT191" s="735"/>
      <c r="AU191" s="735"/>
      <c r="AV191" s="735"/>
      <c r="AW191" s="735"/>
      <c r="AX191" s="735"/>
      <c r="AY191" s="735"/>
      <c r="AZ191" s="735"/>
      <c r="BA191" s="735"/>
      <c r="BB191" s="735"/>
      <c r="BC191" s="735"/>
      <c r="BD191" s="735"/>
      <c r="BE191" s="735"/>
      <c r="BF191" s="735"/>
      <c r="BG191" s="735"/>
      <c r="BH191" s="735"/>
      <c r="BI191" s="735"/>
      <c r="BJ191" s="735"/>
      <c r="BK191" s="735"/>
      <c r="BL191" s="735"/>
      <c r="BM191" s="735"/>
      <c r="BN191" s="735"/>
      <c r="BO191" s="735"/>
      <c r="BP191" s="735"/>
      <c r="BQ191" s="735"/>
      <c r="BR191" s="735"/>
      <c r="BS191" s="735"/>
      <c r="BT191" s="735"/>
      <c r="CC191" s="318">
        <f>IF($CC$178&lt;=E191,$CC$178,0)</f>
        <v>150.58869701726846</v>
      </c>
      <c r="CD191" s="318">
        <f>IF($CC$178&gt;E189,$CC$178,0)</f>
        <v>150.58869701726846</v>
      </c>
      <c r="CE191" s="264">
        <f>IF($CD$178=(CC191+CD191),$CC$178,0)</f>
        <v>150.58869701726846</v>
      </c>
      <c r="CG191" s="286">
        <f>IF($CG$178&lt;=E191,$CG$178,0)</f>
        <v>123.46271585557301</v>
      </c>
      <c r="CH191" s="286">
        <f>IF($CG$178&gt;E189,$CG$178,0)</f>
        <v>123.46271585557301</v>
      </c>
      <c r="CI191" s="3">
        <f>IF($CH$178=(CG191+CH191),$CG$178,0)</f>
        <v>123.46271585557301</v>
      </c>
    </row>
    <row r="192" spans="1:83" ht="3" customHeight="1">
      <c r="A192" s="8">
        <v>1</v>
      </c>
      <c r="B192" s="8"/>
      <c r="C192" s="271"/>
      <c r="D192" s="320"/>
      <c r="E192" s="321"/>
      <c r="I192" s="291"/>
      <c r="J192" s="291"/>
      <c r="K192" s="291"/>
      <c r="L192" s="291"/>
      <c r="M192" s="291"/>
      <c r="N192" s="291"/>
      <c r="O192" s="291"/>
      <c r="P192" s="291"/>
      <c r="Q192" s="291"/>
      <c r="R192" s="291"/>
      <c r="S192" s="291"/>
      <c r="T192" s="291"/>
      <c r="U192" s="291"/>
      <c r="V192" s="291"/>
      <c r="W192" s="291"/>
      <c r="X192" s="291"/>
      <c r="Y192" s="289"/>
      <c r="Z192" s="289"/>
      <c r="AA192" s="289"/>
      <c r="AB192" s="289"/>
      <c r="AC192" s="291"/>
      <c r="AD192" s="278"/>
      <c r="AE192" s="278"/>
      <c r="AF192" s="278"/>
      <c r="AG192" s="278"/>
      <c r="AH192" s="278"/>
      <c r="AI192" s="278"/>
      <c r="AJ192" s="278"/>
      <c r="AK192" s="278"/>
      <c r="AL192" s="278"/>
      <c r="AM192" s="278"/>
      <c r="AN192" s="278"/>
      <c r="AO192" s="278"/>
      <c r="AP192" s="278"/>
      <c r="AQ192" s="278"/>
      <c r="AR192" s="278"/>
      <c r="AS192" s="278"/>
      <c r="AT192" s="278"/>
      <c r="AU192" s="278"/>
      <c r="AV192" s="278"/>
      <c r="AW192" s="278"/>
      <c r="AX192" s="278"/>
      <c r="AY192" s="278"/>
      <c r="AZ192" s="278"/>
      <c r="BA192" s="278"/>
      <c r="BN192" s="289"/>
      <c r="BO192" s="8"/>
      <c r="BP192" s="8"/>
      <c r="BQ192" s="8"/>
      <c r="BR192" s="8"/>
      <c r="BS192" s="8"/>
      <c r="BT192" s="8"/>
      <c r="CC192" s="318"/>
      <c r="CD192" s="318"/>
      <c r="CE192" s="318"/>
    </row>
    <row r="193" spans="1:87" ht="15">
      <c r="A193" s="8">
        <v>1</v>
      </c>
      <c r="B193" s="8"/>
      <c r="C193" s="271"/>
      <c r="D193" s="320" t="s">
        <v>665</v>
      </c>
      <c r="E193" s="736">
        <v>200</v>
      </c>
      <c r="F193" s="664"/>
      <c r="G193" s="664"/>
      <c r="H193" s="664"/>
      <c r="I193" s="737" t="s">
        <v>670</v>
      </c>
      <c r="J193" s="660"/>
      <c r="K193" s="660"/>
      <c r="L193" s="660"/>
      <c r="M193" s="660"/>
      <c r="N193" s="660"/>
      <c r="O193" s="660"/>
      <c r="P193" s="660"/>
      <c r="Q193" s="660"/>
      <c r="R193" s="660"/>
      <c r="S193" s="660"/>
      <c r="T193" s="660"/>
      <c r="U193" s="660"/>
      <c r="V193" s="660"/>
      <c r="W193" s="660"/>
      <c r="X193" s="660"/>
      <c r="Y193" s="660"/>
      <c r="Z193" s="660"/>
      <c r="AA193" s="660"/>
      <c r="AB193" s="660"/>
      <c r="AC193" s="660"/>
      <c r="AD193" s="660"/>
      <c r="AE193" s="660"/>
      <c r="AF193" s="278"/>
      <c r="AG193" s="278"/>
      <c r="AH193" s="735" t="str">
        <f>IF(CE193=$CC$178,$CC$177,IF(CI193=$CG$178,$CG$177,$CE$173))</f>
        <v>                                                                                     </v>
      </c>
      <c r="AI193" s="735"/>
      <c r="AJ193" s="735"/>
      <c r="AK193" s="735"/>
      <c r="AL193" s="735"/>
      <c r="AM193" s="735"/>
      <c r="AN193" s="735"/>
      <c r="AO193" s="735"/>
      <c r="AP193" s="735"/>
      <c r="AQ193" s="735"/>
      <c r="AR193" s="735"/>
      <c r="AS193" s="735"/>
      <c r="AT193" s="735"/>
      <c r="AU193" s="735"/>
      <c r="AV193" s="735"/>
      <c r="AW193" s="735"/>
      <c r="AX193" s="735"/>
      <c r="AY193" s="735"/>
      <c r="AZ193" s="735"/>
      <c r="BA193" s="735"/>
      <c r="BB193" s="735"/>
      <c r="BC193" s="735"/>
      <c r="BD193" s="735"/>
      <c r="BE193" s="735"/>
      <c r="BF193" s="735"/>
      <c r="BG193" s="735"/>
      <c r="BH193" s="735"/>
      <c r="BI193" s="735"/>
      <c r="BJ193" s="735"/>
      <c r="BK193" s="735"/>
      <c r="BL193" s="735"/>
      <c r="BM193" s="735"/>
      <c r="BN193" s="735"/>
      <c r="BO193" s="735"/>
      <c r="BP193" s="735"/>
      <c r="BQ193" s="735"/>
      <c r="BR193" s="735"/>
      <c r="BS193" s="735"/>
      <c r="BT193" s="735"/>
      <c r="BU193" s="735"/>
      <c r="BV193" s="735"/>
      <c r="CC193" s="318">
        <f>IF($CC$178&lt;=E193,$CC$178,0)</f>
        <v>150.58869701726846</v>
      </c>
      <c r="CD193" s="318">
        <f>IF($CC$178&gt;E191,$CC$178,0)</f>
        <v>0</v>
      </c>
      <c r="CE193" s="3">
        <f>IF($CD$178=(CC193+CD193),$CC$178,0)</f>
        <v>0</v>
      </c>
      <c r="CG193" s="286">
        <f>IF($CG$178&lt;=E193,$CG$178,0)</f>
        <v>123.46271585557301</v>
      </c>
      <c r="CH193" s="286">
        <f>IF($CG$178&gt;E191,$CG$178,0)</f>
        <v>0</v>
      </c>
      <c r="CI193" s="3">
        <f>IF($CH$178=(CG193+CH193),$CG$178,0)</f>
        <v>0</v>
      </c>
    </row>
    <row r="194" spans="1:83" ht="3" customHeight="1">
      <c r="A194" s="8">
        <v>1</v>
      </c>
      <c r="B194" s="8"/>
      <c r="C194" s="271"/>
      <c r="D194" s="322"/>
      <c r="E194" s="321"/>
      <c r="I194" s="291"/>
      <c r="J194" s="291"/>
      <c r="K194" s="291"/>
      <c r="L194" s="291"/>
      <c r="M194" s="291"/>
      <c r="N194" s="291"/>
      <c r="O194" s="291"/>
      <c r="P194" s="291"/>
      <c r="Q194" s="291"/>
      <c r="R194" s="291"/>
      <c r="S194" s="291"/>
      <c r="T194" s="291"/>
      <c r="U194" s="291"/>
      <c r="V194" s="291"/>
      <c r="W194" s="291"/>
      <c r="X194" s="291"/>
      <c r="Y194" s="291"/>
      <c r="Z194" s="291"/>
      <c r="AA194" s="289"/>
      <c r="AB194" s="289"/>
      <c r="AC194" s="291"/>
      <c r="AD194" s="278"/>
      <c r="AE194" s="278"/>
      <c r="AF194" s="278"/>
      <c r="AG194" s="278"/>
      <c r="AH194" s="278"/>
      <c r="AI194" s="278"/>
      <c r="AJ194" s="278"/>
      <c r="AK194" s="735"/>
      <c r="AL194" s="735"/>
      <c r="AM194" s="735"/>
      <c r="AN194" s="735"/>
      <c r="AO194" s="735"/>
      <c r="AP194" s="735"/>
      <c r="AQ194" s="735"/>
      <c r="AR194" s="735"/>
      <c r="AS194" s="735"/>
      <c r="AT194" s="735"/>
      <c r="AU194" s="735"/>
      <c r="AV194" s="735"/>
      <c r="AW194" s="735"/>
      <c r="AX194" s="735"/>
      <c r="AY194" s="735"/>
      <c r="AZ194" s="735"/>
      <c r="BA194" s="735"/>
      <c r="BB194" s="735"/>
      <c r="BC194" s="735"/>
      <c r="BD194" s="735"/>
      <c r="BE194" s="735"/>
      <c r="BF194" s="735"/>
      <c r="BG194" s="735"/>
      <c r="BH194" s="735"/>
      <c r="BI194" s="735"/>
      <c r="BJ194" s="735"/>
      <c r="BK194" s="735"/>
      <c r="BL194" s="735"/>
      <c r="BM194" s="735"/>
      <c r="BN194" s="735"/>
      <c r="BO194" s="735"/>
      <c r="BP194" s="735"/>
      <c r="BQ194" s="735"/>
      <c r="BR194" s="735"/>
      <c r="BS194" s="735"/>
      <c r="BT194" s="735"/>
      <c r="BU194" s="735"/>
      <c r="BV194" s="735"/>
      <c r="BW194" s="735"/>
      <c r="BX194" s="735"/>
      <c r="BY194" s="735"/>
      <c r="CC194" s="318"/>
      <c r="CD194" s="318"/>
      <c r="CE194" s="318"/>
    </row>
    <row r="195" spans="1:87" ht="15">
      <c r="A195" s="8">
        <v>1</v>
      </c>
      <c r="B195" s="8"/>
      <c r="C195" s="271"/>
      <c r="D195" s="320" t="s">
        <v>665</v>
      </c>
      <c r="E195" s="736">
        <v>260</v>
      </c>
      <c r="F195" s="664"/>
      <c r="G195" s="664"/>
      <c r="H195" s="664"/>
      <c r="I195" s="737" t="s">
        <v>671</v>
      </c>
      <c r="J195" s="660"/>
      <c r="K195" s="660"/>
      <c r="L195" s="660"/>
      <c r="M195" s="660"/>
      <c r="N195" s="660"/>
      <c r="O195" s="660"/>
      <c r="P195" s="660"/>
      <c r="Q195" s="660"/>
      <c r="R195" s="660"/>
      <c r="S195" s="660"/>
      <c r="T195" s="660"/>
      <c r="U195" s="660"/>
      <c r="V195" s="660"/>
      <c r="W195" s="660"/>
      <c r="X195" s="660"/>
      <c r="Y195" s="660"/>
      <c r="Z195" s="660"/>
      <c r="AA195" s="660"/>
      <c r="AB195" s="660"/>
      <c r="AC195" s="660"/>
      <c r="AD195" s="660"/>
      <c r="AE195" s="660"/>
      <c r="AF195" s="660"/>
      <c r="AG195" s="660"/>
      <c r="AH195" s="278"/>
      <c r="AI195" s="278"/>
      <c r="AJ195" s="735" t="str">
        <f>IF(CE195=$CC$178,$CC$177,IF(CI195=$CG$178,$CG$177,$CE$173))</f>
        <v>                                                                                     </v>
      </c>
      <c r="AK195" s="735"/>
      <c r="AL195" s="735"/>
      <c r="AM195" s="735"/>
      <c r="AN195" s="735"/>
      <c r="AO195" s="735"/>
      <c r="AP195" s="735"/>
      <c r="AQ195" s="735"/>
      <c r="AR195" s="735"/>
      <c r="AS195" s="735"/>
      <c r="AT195" s="735"/>
      <c r="AU195" s="735"/>
      <c r="AV195" s="735"/>
      <c r="AW195" s="735"/>
      <c r="AX195" s="735"/>
      <c r="AY195" s="735"/>
      <c r="AZ195" s="735"/>
      <c r="BA195" s="735"/>
      <c r="BB195" s="735"/>
      <c r="BC195" s="735"/>
      <c r="BD195" s="735"/>
      <c r="BE195" s="735"/>
      <c r="BF195" s="735"/>
      <c r="BG195" s="735"/>
      <c r="BH195" s="735"/>
      <c r="BI195" s="735"/>
      <c r="BJ195" s="735"/>
      <c r="BK195" s="735"/>
      <c r="BL195" s="735"/>
      <c r="BM195" s="735"/>
      <c r="BN195" s="735"/>
      <c r="BO195" s="735"/>
      <c r="BP195" s="735"/>
      <c r="BQ195" s="735"/>
      <c r="BR195" s="735"/>
      <c r="BS195" s="735"/>
      <c r="BT195" s="735"/>
      <c r="BU195" s="735"/>
      <c r="BV195" s="735"/>
      <c r="BW195" s="735"/>
      <c r="BX195" s="735"/>
      <c r="CC195" s="318">
        <f>IF($CC$178&lt;=E195,$CC$178,0)</f>
        <v>150.58869701726846</v>
      </c>
      <c r="CD195" s="318">
        <f>IF($CC$178&gt;E193,$CC$178,0)</f>
        <v>0</v>
      </c>
      <c r="CE195" s="3">
        <f>IF($CD$178=(CC195+CD195),$CC$178,0)</f>
        <v>0</v>
      </c>
      <c r="CG195" s="286">
        <f>IF($CG$178&lt;=E195,$CG$178,0)</f>
        <v>123.46271585557301</v>
      </c>
      <c r="CH195" s="286">
        <f>IF($CG$178&gt;E193,$CG$178,0)</f>
        <v>0</v>
      </c>
      <c r="CI195" s="3">
        <f>IF($CH$178=(CG195+CH195),$CG$178,0)</f>
        <v>0</v>
      </c>
    </row>
    <row r="196" spans="1:83" ht="3" customHeight="1">
      <c r="A196" s="8">
        <v>1</v>
      </c>
      <c r="B196" s="8"/>
      <c r="C196" s="271"/>
      <c r="D196" s="322"/>
      <c r="E196" s="32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78"/>
      <c r="AE196" s="278"/>
      <c r="AF196" s="278"/>
      <c r="AG196" s="278"/>
      <c r="AH196" s="278"/>
      <c r="AI196" s="278"/>
      <c r="AJ196" s="278"/>
      <c r="AK196" s="278"/>
      <c r="AL196" s="278"/>
      <c r="AM196" s="278"/>
      <c r="AN196" s="278"/>
      <c r="AO196" s="278"/>
      <c r="AP196" s="278"/>
      <c r="AQ196" s="278"/>
      <c r="AR196" s="278"/>
      <c r="AS196" s="278"/>
      <c r="AT196" s="278"/>
      <c r="AU196" s="278"/>
      <c r="AV196" s="278"/>
      <c r="AW196" s="278"/>
      <c r="AX196" s="278"/>
      <c r="AY196" s="278"/>
      <c r="AZ196" s="278"/>
      <c r="BA196" s="278"/>
      <c r="BN196" s="321"/>
      <c r="BO196" s="8"/>
      <c r="BP196" s="8"/>
      <c r="BQ196" s="8"/>
      <c r="BR196" s="8"/>
      <c r="BS196" s="8"/>
      <c r="BT196" s="8"/>
      <c r="CC196" s="318"/>
      <c r="CD196" s="318"/>
      <c r="CE196" s="318"/>
    </row>
    <row r="197" spans="1:87" ht="15">
      <c r="A197" s="8">
        <v>1</v>
      </c>
      <c r="B197" s="8"/>
      <c r="C197" s="271"/>
      <c r="D197" s="320" t="s">
        <v>672</v>
      </c>
      <c r="E197" s="736">
        <v>260</v>
      </c>
      <c r="F197" s="664"/>
      <c r="G197" s="664"/>
      <c r="H197" s="664"/>
      <c r="I197" s="737" t="s">
        <v>673</v>
      </c>
      <c r="J197" s="660"/>
      <c r="K197" s="660"/>
      <c r="L197" s="660"/>
      <c r="M197" s="660"/>
      <c r="N197" s="660"/>
      <c r="O197" s="660"/>
      <c r="P197" s="660"/>
      <c r="Q197" s="660"/>
      <c r="R197" s="660"/>
      <c r="S197" s="660"/>
      <c r="T197" s="660"/>
      <c r="U197" s="660"/>
      <c r="V197" s="660"/>
      <c r="W197" s="660"/>
      <c r="X197" s="660"/>
      <c r="Y197" s="660"/>
      <c r="Z197" s="660"/>
      <c r="AA197" s="660"/>
      <c r="AB197" s="660"/>
      <c r="AC197" s="660"/>
      <c r="AD197" s="660"/>
      <c r="AE197" s="660"/>
      <c r="AF197" s="660"/>
      <c r="AG197" s="660"/>
      <c r="AH197" s="660"/>
      <c r="AI197" s="660"/>
      <c r="AJ197" s="278"/>
      <c r="AK197" s="278"/>
      <c r="AL197" s="735" t="str">
        <f>IF(CE197=$CC$178,$CC$177,IF(CI197=$CG$178,$CG$177,$CE$173))</f>
        <v>                                                                                     </v>
      </c>
      <c r="AM197" s="735"/>
      <c r="AN197" s="735"/>
      <c r="AO197" s="735"/>
      <c r="AP197" s="735"/>
      <c r="AQ197" s="735"/>
      <c r="AR197" s="735"/>
      <c r="AS197" s="735"/>
      <c r="AT197" s="735"/>
      <c r="AU197" s="735"/>
      <c r="AV197" s="735"/>
      <c r="AW197" s="735"/>
      <c r="AX197" s="735"/>
      <c r="AY197" s="735"/>
      <c r="AZ197" s="735"/>
      <c r="BA197" s="735"/>
      <c r="BB197" s="735"/>
      <c r="BC197" s="735"/>
      <c r="BD197" s="735"/>
      <c r="BE197" s="735"/>
      <c r="BF197" s="735"/>
      <c r="BG197" s="735"/>
      <c r="BH197" s="735"/>
      <c r="BI197" s="735"/>
      <c r="BJ197" s="735"/>
      <c r="BK197" s="735"/>
      <c r="BL197" s="735"/>
      <c r="BM197" s="735"/>
      <c r="BN197" s="735"/>
      <c r="BO197" s="735"/>
      <c r="BP197" s="735"/>
      <c r="BQ197" s="735"/>
      <c r="BR197" s="735"/>
      <c r="BS197" s="735"/>
      <c r="BT197" s="735"/>
      <c r="BU197" s="735"/>
      <c r="BV197" s="735"/>
      <c r="BW197" s="735"/>
      <c r="BX197" s="735"/>
      <c r="BY197" s="735"/>
      <c r="BZ197" s="735"/>
      <c r="CC197" s="318">
        <f>IF($CC$178&gt;=E197,$CC$178,0)</f>
        <v>0</v>
      </c>
      <c r="CD197" s="318">
        <f>IF($CC$178&gt;E195,$CC$178,0)</f>
        <v>0</v>
      </c>
      <c r="CE197" s="3">
        <f>IF($CD$178=(CC197+CD197),$CC$178,0)</f>
        <v>0</v>
      </c>
      <c r="CG197" s="3">
        <f>IF(CG178&gt;=E197,CG178,0)</f>
        <v>0</v>
      </c>
      <c r="CH197" s="286">
        <f>IF($CG$178&gt;E195,$CG$178,0)</f>
        <v>0</v>
      </c>
      <c r="CI197" s="3">
        <f>IF($CH$178=(CG197+CH197),$CG$178,0)</f>
        <v>0</v>
      </c>
    </row>
    <row r="198" spans="1:72" ht="13.5" customHeight="1">
      <c r="A198" s="8">
        <v>1</v>
      </c>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row>
    <row r="199" spans="1:72" ht="9" customHeight="1">
      <c r="A199" s="8">
        <v>1</v>
      </c>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row>
    <row r="200" spans="1:86" ht="15">
      <c r="A200" s="8">
        <v>1</v>
      </c>
      <c r="CH200" s="318"/>
    </row>
    <row r="201" spans="1:86" ht="15">
      <c r="A201" s="8">
        <v>1</v>
      </c>
      <c r="CH201" s="318"/>
    </row>
  </sheetData>
  <sheetProtection password="D412" sheet="1"/>
  <mergeCells count="421">
    <mergeCell ref="BJ155:BQ155"/>
    <mergeCell ref="BR155:CA155"/>
    <mergeCell ref="BA154:BI154"/>
    <mergeCell ref="BJ154:BQ154"/>
    <mergeCell ref="BR154:CA154"/>
    <mergeCell ref="B155:C155"/>
    <mergeCell ref="D155:L155"/>
    <mergeCell ref="M155:V155"/>
    <mergeCell ref="W155:AG155"/>
    <mergeCell ref="AH155:AQ155"/>
    <mergeCell ref="AR155:AZ155"/>
    <mergeCell ref="BA155:BI155"/>
    <mergeCell ref="B154:C154"/>
    <mergeCell ref="D154:L154"/>
    <mergeCell ref="M154:V154"/>
    <mergeCell ref="W154:AG154"/>
    <mergeCell ref="AH154:AQ154"/>
    <mergeCell ref="AR154:AZ154"/>
    <mergeCell ref="BR152:CA152"/>
    <mergeCell ref="B153:C153"/>
    <mergeCell ref="D153:L153"/>
    <mergeCell ref="M153:V153"/>
    <mergeCell ref="W153:AG153"/>
    <mergeCell ref="AH153:AQ153"/>
    <mergeCell ref="AR153:AZ153"/>
    <mergeCell ref="BA153:BI153"/>
    <mergeCell ref="BJ153:BQ153"/>
    <mergeCell ref="BR153:CA153"/>
    <mergeCell ref="BJ151:BQ151"/>
    <mergeCell ref="BR151:CA151"/>
    <mergeCell ref="B152:C152"/>
    <mergeCell ref="D152:L152"/>
    <mergeCell ref="M152:V152"/>
    <mergeCell ref="W152:AG152"/>
    <mergeCell ref="AH152:AQ152"/>
    <mergeCell ref="AR152:AZ152"/>
    <mergeCell ref="BA152:BI152"/>
    <mergeCell ref="BJ152:BQ152"/>
    <mergeCell ref="BA150:BI150"/>
    <mergeCell ref="BJ150:BQ150"/>
    <mergeCell ref="BR150:CA150"/>
    <mergeCell ref="B151:C151"/>
    <mergeCell ref="D151:L151"/>
    <mergeCell ref="M151:V151"/>
    <mergeCell ref="W151:AG151"/>
    <mergeCell ref="AH151:AQ151"/>
    <mergeCell ref="AR151:AZ151"/>
    <mergeCell ref="BA151:BI151"/>
    <mergeCell ref="B150:C150"/>
    <mergeCell ref="D150:L150"/>
    <mergeCell ref="M150:V150"/>
    <mergeCell ref="W150:AG150"/>
    <mergeCell ref="AH150:AQ150"/>
    <mergeCell ref="AR150:AZ150"/>
    <mergeCell ref="BR148:CA148"/>
    <mergeCell ref="B149:C149"/>
    <mergeCell ref="D149:L149"/>
    <mergeCell ref="M149:V149"/>
    <mergeCell ref="W149:AG149"/>
    <mergeCell ref="AH149:AQ149"/>
    <mergeCell ref="AR149:AZ149"/>
    <mergeCell ref="BA149:BI149"/>
    <mergeCell ref="BJ149:BQ149"/>
    <mergeCell ref="BR149:CA149"/>
    <mergeCell ref="BJ147:BQ147"/>
    <mergeCell ref="BR147:CA147"/>
    <mergeCell ref="B148:C148"/>
    <mergeCell ref="D148:L148"/>
    <mergeCell ref="M148:V148"/>
    <mergeCell ref="W148:AG148"/>
    <mergeCell ref="AH148:AQ148"/>
    <mergeCell ref="AR148:AZ148"/>
    <mergeCell ref="BA148:BI148"/>
    <mergeCell ref="BJ148:BQ148"/>
    <mergeCell ref="BA146:BI146"/>
    <mergeCell ref="BJ146:BQ146"/>
    <mergeCell ref="BR146:CA146"/>
    <mergeCell ref="B147:C147"/>
    <mergeCell ref="D147:L147"/>
    <mergeCell ref="M147:V147"/>
    <mergeCell ref="W147:AG147"/>
    <mergeCell ref="AH147:AQ147"/>
    <mergeCell ref="AR147:AZ147"/>
    <mergeCell ref="BA147:BI147"/>
    <mergeCell ref="B146:C146"/>
    <mergeCell ref="D146:L146"/>
    <mergeCell ref="M146:V146"/>
    <mergeCell ref="W146:AG146"/>
    <mergeCell ref="AH146:AQ146"/>
    <mergeCell ref="AR146:AZ146"/>
    <mergeCell ref="BR144:CA144"/>
    <mergeCell ref="B145:C145"/>
    <mergeCell ref="D145:L145"/>
    <mergeCell ref="M145:V145"/>
    <mergeCell ref="W145:AG145"/>
    <mergeCell ref="AH145:AQ145"/>
    <mergeCell ref="AR145:AZ145"/>
    <mergeCell ref="BA145:BI145"/>
    <mergeCell ref="BJ145:BQ145"/>
    <mergeCell ref="BR145:CA145"/>
    <mergeCell ref="BJ143:BQ143"/>
    <mergeCell ref="BR143:CA143"/>
    <mergeCell ref="B144:C144"/>
    <mergeCell ref="D144:L144"/>
    <mergeCell ref="M144:V144"/>
    <mergeCell ref="W144:AG144"/>
    <mergeCell ref="AH144:AQ144"/>
    <mergeCell ref="AR144:AZ144"/>
    <mergeCell ref="BA144:BI144"/>
    <mergeCell ref="BJ144:BQ144"/>
    <mergeCell ref="BA142:BI142"/>
    <mergeCell ref="BJ142:BQ142"/>
    <mergeCell ref="BR142:CA142"/>
    <mergeCell ref="B143:C143"/>
    <mergeCell ref="D143:L143"/>
    <mergeCell ref="M143:V143"/>
    <mergeCell ref="W143:AG143"/>
    <mergeCell ref="AH143:AQ143"/>
    <mergeCell ref="AR143:AZ143"/>
    <mergeCell ref="BA143:BI143"/>
    <mergeCell ref="B142:C142"/>
    <mergeCell ref="D142:L142"/>
    <mergeCell ref="M142:V142"/>
    <mergeCell ref="W142:AG142"/>
    <mergeCell ref="AH142:AQ142"/>
    <mergeCell ref="AR142:AZ142"/>
    <mergeCell ref="BR140:CA140"/>
    <mergeCell ref="B141:C141"/>
    <mergeCell ref="D141:L141"/>
    <mergeCell ref="M141:V141"/>
    <mergeCell ref="W141:AG141"/>
    <mergeCell ref="AH141:AQ141"/>
    <mergeCell ref="AR141:AZ141"/>
    <mergeCell ref="BA141:BI141"/>
    <mergeCell ref="BJ141:BQ141"/>
    <mergeCell ref="BR141:CA141"/>
    <mergeCell ref="BJ139:BQ139"/>
    <mergeCell ref="BR139:CA139"/>
    <mergeCell ref="B140:C140"/>
    <mergeCell ref="D140:L140"/>
    <mergeCell ref="M140:V140"/>
    <mergeCell ref="W140:AG140"/>
    <mergeCell ref="AH140:AQ140"/>
    <mergeCell ref="AR140:AZ140"/>
    <mergeCell ref="BA140:BI140"/>
    <mergeCell ref="BJ140:BQ140"/>
    <mergeCell ref="BA138:BI138"/>
    <mergeCell ref="BJ138:BQ138"/>
    <mergeCell ref="BR138:CA138"/>
    <mergeCell ref="B139:C139"/>
    <mergeCell ref="D139:L139"/>
    <mergeCell ref="M139:V139"/>
    <mergeCell ref="W139:AG139"/>
    <mergeCell ref="AH139:AQ139"/>
    <mergeCell ref="AR139:AZ139"/>
    <mergeCell ref="BA139:BI139"/>
    <mergeCell ref="B138:C138"/>
    <mergeCell ref="D138:L138"/>
    <mergeCell ref="M138:V138"/>
    <mergeCell ref="W138:AG138"/>
    <mergeCell ref="AH138:AQ138"/>
    <mergeCell ref="AR138:AZ138"/>
    <mergeCell ref="BR136:CA136"/>
    <mergeCell ref="B137:C137"/>
    <mergeCell ref="D137:L137"/>
    <mergeCell ref="M137:V137"/>
    <mergeCell ref="W137:AG137"/>
    <mergeCell ref="AH137:AQ137"/>
    <mergeCell ref="AR137:AZ137"/>
    <mergeCell ref="BA137:BI137"/>
    <mergeCell ref="BJ137:BQ137"/>
    <mergeCell ref="BR137:CA137"/>
    <mergeCell ref="BJ135:BQ135"/>
    <mergeCell ref="BR135:CA135"/>
    <mergeCell ref="B136:C136"/>
    <mergeCell ref="D136:L136"/>
    <mergeCell ref="M136:V136"/>
    <mergeCell ref="W136:AG136"/>
    <mergeCell ref="AH136:AQ136"/>
    <mergeCell ref="AR136:AZ136"/>
    <mergeCell ref="BA136:BI136"/>
    <mergeCell ref="BJ136:BQ136"/>
    <mergeCell ref="BA134:BI134"/>
    <mergeCell ref="BJ134:BQ134"/>
    <mergeCell ref="BR134:CA134"/>
    <mergeCell ref="B135:C135"/>
    <mergeCell ref="D135:L135"/>
    <mergeCell ref="M135:V135"/>
    <mergeCell ref="W135:AG135"/>
    <mergeCell ref="AH135:AQ135"/>
    <mergeCell ref="AR135:AZ135"/>
    <mergeCell ref="BA135:BI135"/>
    <mergeCell ref="B134:C134"/>
    <mergeCell ref="D134:L134"/>
    <mergeCell ref="M134:V134"/>
    <mergeCell ref="W134:AG134"/>
    <mergeCell ref="AH134:AQ134"/>
    <mergeCell ref="AR134:AZ134"/>
    <mergeCell ref="BR132:CA132"/>
    <mergeCell ref="B133:C133"/>
    <mergeCell ref="D133:L133"/>
    <mergeCell ref="M133:V133"/>
    <mergeCell ref="W133:AG133"/>
    <mergeCell ref="AH133:AQ133"/>
    <mergeCell ref="AR133:AZ133"/>
    <mergeCell ref="BA133:BI133"/>
    <mergeCell ref="BJ133:BQ133"/>
    <mergeCell ref="BR133:CA133"/>
    <mergeCell ref="BJ131:BQ131"/>
    <mergeCell ref="BR131:CA131"/>
    <mergeCell ref="B132:C132"/>
    <mergeCell ref="D132:L132"/>
    <mergeCell ref="M132:V132"/>
    <mergeCell ref="W132:AG132"/>
    <mergeCell ref="AH132:AQ132"/>
    <mergeCell ref="AR132:AZ132"/>
    <mergeCell ref="BA132:BI132"/>
    <mergeCell ref="BJ132:BQ132"/>
    <mergeCell ref="BA130:BI130"/>
    <mergeCell ref="BJ130:BQ130"/>
    <mergeCell ref="BR130:CA130"/>
    <mergeCell ref="B131:C131"/>
    <mergeCell ref="D131:L131"/>
    <mergeCell ref="M131:V131"/>
    <mergeCell ref="W131:AG131"/>
    <mergeCell ref="AH131:AQ131"/>
    <mergeCell ref="AR131:AZ131"/>
    <mergeCell ref="BA131:BI131"/>
    <mergeCell ref="B130:C130"/>
    <mergeCell ref="D130:L130"/>
    <mergeCell ref="M130:V130"/>
    <mergeCell ref="W130:AG130"/>
    <mergeCell ref="AH130:AQ130"/>
    <mergeCell ref="AR130:AZ130"/>
    <mergeCell ref="CH128:CH129"/>
    <mergeCell ref="CY128:CY129"/>
    <mergeCell ref="DA128:DA129"/>
    <mergeCell ref="M129:V129"/>
    <mergeCell ref="W129:AG129"/>
    <mergeCell ref="AH129:AQ129"/>
    <mergeCell ref="AR129:AZ129"/>
    <mergeCell ref="BA129:BI129"/>
    <mergeCell ref="BJ129:BQ129"/>
    <mergeCell ref="CM129:CN129"/>
    <mergeCell ref="CC127:CC129"/>
    <mergeCell ref="DK127:DK129"/>
    <mergeCell ref="B128:C129"/>
    <mergeCell ref="D128:L129"/>
    <mergeCell ref="M128:AG128"/>
    <mergeCell ref="AH128:AZ128"/>
    <mergeCell ref="BA128:BQ128"/>
    <mergeCell ref="BR128:CA129"/>
    <mergeCell ref="CF128:CF129"/>
    <mergeCell ref="CG128:CG129"/>
    <mergeCell ref="B95:CA95"/>
    <mergeCell ref="B97:CA97"/>
    <mergeCell ref="B117:CA117"/>
    <mergeCell ref="B126:CA126"/>
    <mergeCell ref="C119:CA124"/>
    <mergeCell ref="C74:H74"/>
    <mergeCell ref="C75:CA92"/>
    <mergeCell ref="B71:AK71"/>
    <mergeCell ref="AM71:AT71"/>
    <mergeCell ref="AV71:BC71"/>
    <mergeCell ref="BF71:BU72"/>
    <mergeCell ref="BV71:CA72"/>
    <mergeCell ref="B72:AK72"/>
    <mergeCell ref="AM72:BC72"/>
    <mergeCell ref="B69:AK69"/>
    <mergeCell ref="AM69:AT69"/>
    <mergeCell ref="AV69:BC69"/>
    <mergeCell ref="BF69:BS70"/>
    <mergeCell ref="BT69:CA70"/>
    <mergeCell ref="B70:AK70"/>
    <mergeCell ref="AM70:AT70"/>
    <mergeCell ref="AV70:BC70"/>
    <mergeCell ref="AV66:BC66"/>
    <mergeCell ref="B67:AK67"/>
    <mergeCell ref="AM67:AT67"/>
    <mergeCell ref="AV67:BC67"/>
    <mergeCell ref="BF67:BU68"/>
    <mergeCell ref="BV67:CA68"/>
    <mergeCell ref="B68:AK68"/>
    <mergeCell ref="AM68:AT68"/>
    <mergeCell ref="AV68:BC68"/>
    <mergeCell ref="B64:AK64"/>
    <mergeCell ref="AM64:AT64"/>
    <mergeCell ref="AV64:BC64"/>
    <mergeCell ref="BF64:BT66"/>
    <mergeCell ref="BU64:CA66"/>
    <mergeCell ref="B65:AK65"/>
    <mergeCell ref="AM65:AT65"/>
    <mergeCell ref="AV65:BC65"/>
    <mergeCell ref="B66:AK66"/>
    <mergeCell ref="AM66:AT66"/>
    <mergeCell ref="B61:BP61"/>
    <mergeCell ref="BQ61:CA61"/>
    <mergeCell ref="AM63:AT63"/>
    <mergeCell ref="AV63:BC63"/>
    <mergeCell ref="BF63:CA63"/>
    <mergeCell ref="B63:H63"/>
    <mergeCell ref="I63:AK63"/>
    <mergeCell ref="B58:BP58"/>
    <mergeCell ref="BQ58:CA58"/>
    <mergeCell ref="B59:R59"/>
    <mergeCell ref="S59:BP59"/>
    <mergeCell ref="BQ59:CA59"/>
    <mergeCell ref="B60:O60"/>
    <mergeCell ref="P60:BP60"/>
    <mergeCell ref="BQ60:CA60"/>
    <mergeCell ref="B45:BP45"/>
    <mergeCell ref="BQ45:CA45"/>
    <mergeCell ref="B50:BP50"/>
    <mergeCell ref="BQ50:CA50"/>
    <mergeCell ref="B51:BP51"/>
    <mergeCell ref="BQ51:CA57"/>
    <mergeCell ref="B52:BP57"/>
    <mergeCell ref="B46:BP46"/>
    <mergeCell ref="BQ46:CA47"/>
    <mergeCell ref="B47:BP47"/>
    <mergeCell ref="B48:BP48"/>
    <mergeCell ref="BQ48:CA49"/>
    <mergeCell ref="B49:BP49"/>
    <mergeCell ref="B42:AF42"/>
    <mergeCell ref="AG42:AM42"/>
    <mergeCell ref="AO42:BT42"/>
    <mergeCell ref="BU42:CA42"/>
    <mergeCell ref="B43:AF43"/>
    <mergeCell ref="AG43:AM43"/>
    <mergeCell ref="AO43:BT43"/>
    <mergeCell ref="BU43:CA43"/>
    <mergeCell ref="BI34:BP34"/>
    <mergeCell ref="B40:CA40"/>
    <mergeCell ref="B41:AF41"/>
    <mergeCell ref="AG41:AM41"/>
    <mergeCell ref="AO41:BT41"/>
    <mergeCell ref="BU41:CA41"/>
    <mergeCell ref="B31:V32"/>
    <mergeCell ref="AK31:AP31"/>
    <mergeCell ref="BI31:BP31"/>
    <mergeCell ref="AK32:AP32"/>
    <mergeCell ref="BI32:BP32"/>
    <mergeCell ref="B33:J34"/>
    <mergeCell ref="K33:V34"/>
    <mergeCell ref="AK33:AP33"/>
    <mergeCell ref="BI33:BP33"/>
    <mergeCell ref="AK34:AP34"/>
    <mergeCell ref="AB28:AK28"/>
    <mergeCell ref="AL28:AU28"/>
    <mergeCell ref="AV28:BE28"/>
    <mergeCell ref="BF28:BO28"/>
    <mergeCell ref="BP28:BZ28"/>
    <mergeCell ref="B30:CA30"/>
    <mergeCell ref="B28:W28"/>
    <mergeCell ref="X28:AA28"/>
    <mergeCell ref="AB26:AK26"/>
    <mergeCell ref="AL26:AU26"/>
    <mergeCell ref="AV26:BE26"/>
    <mergeCell ref="BF26:BO26"/>
    <mergeCell ref="BP26:BZ26"/>
    <mergeCell ref="AB27:AK27"/>
    <mergeCell ref="AL27:AU27"/>
    <mergeCell ref="AV27:BE27"/>
    <mergeCell ref="BF27:BO27"/>
    <mergeCell ref="BP27:BZ27"/>
    <mergeCell ref="B17:CA17"/>
    <mergeCell ref="B21:CA21"/>
    <mergeCell ref="U22:CA22"/>
    <mergeCell ref="B23:CA23"/>
    <mergeCell ref="N24:R24"/>
    <mergeCell ref="AB25:AK25"/>
    <mergeCell ref="AL25:AU25"/>
    <mergeCell ref="AV25:BE25"/>
    <mergeCell ref="BF25:BO25"/>
    <mergeCell ref="BP25:BZ25"/>
    <mergeCell ref="B5:CA5"/>
    <mergeCell ref="B6:CA6"/>
    <mergeCell ref="B7:CA7"/>
    <mergeCell ref="B12:CA12"/>
    <mergeCell ref="B14:CA14"/>
    <mergeCell ref="B15:T15"/>
    <mergeCell ref="C157:CA173"/>
    <mergeCell ref="E179:H179"/>
    <mergeCell ref="I179:Q179"/>
    <mergeCell ref="T179:BH179"/>
    <mergeCell ref="AB180:BP180"/>
    <mergeCell ref="E181:H181"/>
    <mergeCell ref="I181:S181"/>
    <mergeCell ref="V181:BJ181"/>
    <mergeCell ref="B175:CA175"/>
    <mergeCell ref="E183:H183"/>
    <mergeCell ref="I183:U183"/>
    <mergeCell ref="X183:BL183"/>
    <mergeCell ref="E185:H185"/>
    <mergeCell ref="I185:W185"/>
    <mergeCell ref="Z185:BN185"/>
    <mergeCell ref="E187:H187"/>
    <mergeCell ref="I187:Y187"/>
    <mergeCell ref="AB187:BP187"/>
    <mergeCell ref="E189:H189"/>
    <mergeCell ref="I189:AA189"/>
    <mergeCell ref="AD189:BR189"/>
    <mergeCell ref="E191:H191"/>
    <mergeCell ref="I191:AC191"/>
    <mergeCell ref="AF191:BT191"/>
    <mergeCell ref="E193:H193"/>
    <mergeCell ref="I193:AE193"/>
    <mergeCell ref="AH193:BV193"/>
    <mergeCell ref="AK194:BY194"/>
    <mergeCell ref="E195:H195"/>
    <mergeCell ref="I195:AG195"/>
    <mergeCell ref="AJ195:BX195"/>
    <mergeCell ref="E197:H197"/>
    <mergeCell ref="I197:AI197"/>
    <mergeCell ref="AL197:BZ197"/>
    <mergeCell ref="B25:W25"/>
    <mergeCell ref="X25:AA25"/>
    <mergeCell ref="B26:W26"/>
    <mergeCell ref="X26:AA26"/>
    <mergeCell ref="B27:W27"/>
    <mergeCell ref="X27:AA27"/>
  </mergeCells>
  <printOptions/>
  <pageMargins left="0.03937007874015748" right="0.03937007874015748" top="1.141732283464567" bottom="1.141732283464567"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2:AC348"/>
  <sheetViews>
    <sheetView showGridLines="0" showRowColHeaders="0" zoomScalePageLayoutView="0" workbookViewId="0" topLeftCell="A254">
      <selection activeCell="A254" sqref="A254"/>
    </sheetView>
  </sheetViews>
  <sheetFormatPr defaultColWidth="9.140625" defaultRowHeight="15"/>
  <cols>
    <col min="1" max="1" width="1.421875" style="3" customWidth="1"/>
    <col min="2" max="2" width="12.00390625" style="3" customWidth="1"/>
    <col min="3" max="3" width="9.140625" style="3" customWidth="1"/>
    <col min="4" max="4" width="17.00390625" style="3" customWidth="1"/>
    <col min="5" max="5" width="11.7109375" style="3" customWidth="1"/>
    <col min="6" max="6" width="2.8515625" style="3" customWidth="1"/>
    <col min="7" max="7" width="16.7109375" style="3" customWidth="1"/>
    <col min="8" max="8" width="15.7109375" style="3" customWidth="1"/>
    <col min="9" max="9" width="2.8515625" style="3" customWidth="1"/>
    <col min="10" max="10" width="16.7109375" style="3" customWidth="1"/>
    <col min="11" max="11" width="15.7109375" style="3" customWidth="1"/>
    <col min="12" max="12" width="2.8515625" style="3" customWidth="1"/>
    <col min="13" max="14" width="15.7109375" style="3" customWidth="1"/>
    <col min="15" max="15" width="2.8515625" style="3" customWidth="1"/>
    <col min="16" max="17" width="15.7109375" style="3" customWidth="1"/>
    <col min="18" max="18" width="10.7109375" style="3" customWidth="1"/>
    <col min="19" max="19" width="9.140625" style="3" customWidth="1"/>
    <col min="20" max="20" width="10.8515625" style="3" customWidth="1"/>
    <col min="21" max="21" width="11.8515625" style="3" customWidth="1"/>
    <col min="22" max="22" width="8.140625" style="3" customWidth="1"/>
    <col min="23" max="23" width="7.7109375" style="3" customWidth="1"/>
    <col min="24" max="24" width="11.421875" style="3" customWidth="1"/>
    <col min="25" max="25" width="10.28125" style="3" customWidth="1"/>
    <col min="26" max="16384" width="9.140625" style="3" customWidth="1"/>
  </cols>
  <sheetData>
    <row r="1" ht="3" customHeight="1"/>
    <row r="2" spans="2:22" ht="6.75" customHeight="1">
      <c r="B2" s="517"/>
      <c r="C2" s="517"/>
      <c r="E2" s="311"/>
      <c r="F2" s="6"/>
      <c r="L2" s="520"/>
      <c r="M2" s="517"/>
      <c r="N2" s="520"/>
      <c r="O2" s="311"/>
      <c r="P2" s="311"/>
      <c r="Q2" s="323"/>
      <c r="R2" s="323"/>
      <c r="S2" s="323"/>
      <c r="U2" s="520"/>
      <c r="V2" s="520"/>
    </row>
    <row r="3" spans="2:11" ht="18.75">
      <c r="B3" s="514" t="s">
        <v>170</v>
      </c>
      <c r="C3" s="343">
        <v>0.25</v>
      </c>
      <c r="D3" s="514" t="s">
        <v>429</v>
      </c>
      <c r="E3" s="515">
        <v>20</v>
      </c>
      <c r="G3" s="661" t="s">
        <v>316</v>
      </c>
      <c r="H3" s="661"/>
      <c r="J3" s="661" t="s">
        <v>317</v>
      </c>
      <c r="K3" s="661"/>
    </row>
    <row r="4" spans="2:5" ht="15.75">
      <c r="B4" s="3" t="s">
        <v>440</v>
      </c>
      <c r="C4" s="281">
        <f>Simulatore!E27</f>
        <v>12</v>
      </c>
      <c r="E4" s="344" t="s">
        <v>413</v>
      </c>
    </row>
    <row r="5" spans="2:11" ht="15">
      <c r="B5" s="3" t="s">
        <v>344</v>
      </c>
      <c r="G5" s="523" t="str">
        <f>Simulatore!B91</f>
        <v>      detrazione 50%</v>
      </c>
      <c r="H5" s="517">
        <f>Simulatore!A91</f>
        <v>2</v>
      </c>
      <c r="I5" s="324"/>
      <c r="J5" s="523" t="str">
        <f>Simulatore!B90</f>
        <v>      detrazione 50%</v>
      </c>
      <c r="K5" s="517">
        <f>Simulatore!A90</f>
        <v>2</v>
      </c>
    </row>
    <row r="6" spans="2:10" ht="15">
      <c r="B6" s="3" t="s">
        <v>414</v>
      </c>
      <c r="G6" s="524">
        <f>Simulatore!E16</f>
        <v>5</v>
      </c>
      <c r="I6" s="325"/>
      <c r="J6" s="524">
        <f>Simulatore!G16</f>
        <v>5</v>
      </c>
    </row>
    <row r="7" spans="2:10" ht="15">
      <c r="B7" s="3" t="s">
        <v>185</v>
      </c>
      <c r="G7" s="520">
        <f>Simulatore!Y18</f>
        <v>1100</v>
      </c>
      <c r="I7" s="517"/>
      <c r="J7" s="520">
        <f>Simulatore!$Y$18</f>
        <v>1100</v>
      </c>
    </row>
    <row r="8" spans="2:10" ht="15">
      <c r="B8" s="3" t="s">
        <v>415</v>
      </c>
      <c r="G8" s="311">
        <f>G13/G7</f>
        <v>3.1818181818181817</v>
      </c>
      <c r="I8" s="517"/>
      <c r="J8" s="311">
        <f>J13/J7</f>
        <v>3.1818181818181817</v>
      </c>
    </row>
    <row r="9" spans="2:10" ht="15">
      <c r="B9" s="3" t="s">
        <v>416</v>
      </c>
      <c r="G9" s="524">
        <f>G6-G8</f>
        <v>1.8181818181818183</v>
      </c>
      <c r="I9" s="517"/>
      <c r="J9" s="524">
        <f>J6-J8</f>
        <v>1.8181818181818183</v>
      </c>
    </row>
    <row r="10" spans="2:11" ht="15">
      <c r="B10" s="3" t="s">
        <v>417</v>
      </c>
      <c r="G10" s="345">
        <f>C!F4</f>
        <v>11090.643152676796</v>
      </c>
      <c r="H10" s="520">
        <f>FLOOR(G10,1)</f>
        <v>11090</v>
      </c>
      <c r="I10" s="517"/>
      <c r="J10" s="520">
        <f>C!G4</f>
        <v>11090.643152676796</v>
      </c>
      <c r="K10" s="520">
        <f>FLOOR(J10,1)</f>
        <v>11090</v>
      </c>
    </row>
    <row r="11" spans="2:10" ht="15">
      <c r="B11" s="3" t="s">
        <v>418</v>
      </c>
      <c r="G11" s="520">
        <f>G7*G6</f>
        <v>5500</v>
      </c>
      <c r="I11" s="517"/>
      <c r="J11" s="520">
        <f>J7*J6</f>
        <v>5500</v>
      </c>
    </row>
    <row r="12" spans="2:10" ht="15">
      <c r="B12" s="3" t="s">
        <v>419</v>
      </c>
      <c r="G12" s="346">
        <v>0.002</v>
      </c>
      <c r="I12" s="517"/>
      <c r="J12" s="346">
        <v>0.002</v>
      </c>
    </row>
    <row r="13" spans="2:10" ht="15">
      <c r="B13" s="515" t="s">
        <v>420</v>
      </c>
      <c r="G13" s="520">
        <f>Simulatore!$C$12</f>
        <v>3500</v>
      </c>
      <c r="J13" s="520">
        <f>Simulatore!$C$12</f>
        <v>3500</v>
      </c>
    </row>
    <row r="14" spans="2:10" ht="15">
      <c r="B14" s="3" t="s">
        <v>421</v>
      </c>
      <c r="G14" s="525">
        <f>IF(H5=1,$B$219,IF(H5=2,$B$219,IF(H5=3,$H$249,IF(H5=4,$G$218))))</f>
        <v>0.09</v>
      </c>
      <c r="J14" s="525">
        <f>IF(K5=1,$B$219,IF(K5=2,$B$219,IF(K5=3,$K$249,IF(K5=4,$J$218))))</f>
        <v>0.09</v>
      </c>
    </row>
    <row r="15" spans="2:10" ht="15">
      <c r="B15" s="3" t="s">
        <v>422</v>
      </c>
      <c r="G15" s="525">
        <f>IF(H5=1,0,IF(H5=2,0,IF(H5=3,$H$246,IF(H5=4,$G$220))))</f>
        <v>0</v>
      </c>
      <c r="J15" s="525">
        <f>IF(K5=1,0,IF(K5=2,0,IF(K5=3,$K$246,IF(K5=4,$J$220))))</f>
        <v>0</v>
      </c>
    </row>
    <row r="16" spans="2:10" ht="15">
      <c r="B16" s="3" t="s">
        <v>424</v>
      </c>
      <c r="G16" s="311">
        <f>G11*$C$3/G13</f>
        <v>0.39285714285714285</v>
      </c>
      <c r="J16" s="311">
        <f>J11*$C$3/J13</f>
        <v>0.39285714285714285</v>
      </c>
    </row>
    <row r="17" spans="2:11" ht="15">
      <c r="B17" s="3" t="s">
        <v>424</v>
      </c>
      <c r="G17" s="347">
        <f>G16/4</f>
        <v>0.09821428571428571</v>
      </c>
      <c r="H17" s="346">
        <f>IF(G13=0,0,H19)</f>
        <v>0.3482142857142857</v>
      </c>
      <c r="J17" s="347">
        <f>J16/4</f>
        <v>0.09821428571428571</v>
      </c>
      <c r="K17" s="346">
        <f>IF(J13=0,0,K19)</f>
        <v>0.3482142857142857</v>
      </c>
    </row>
    <row r="18" spans="2:11" ht="15">
      <c r="B18" s="3" t="s">
        <v>423</v>
      </c>
      <c r="E18" s="341">
        <v>0.5</v>
      </c>
      <c r="G18" s="346">
        <f>$C$3+G17+Simulatore!$Y$26</f>
        <v>0.3482142857142857</v>
      </c>
      <c r="H18" s="346">
        <f>IF(G13=0,0,H19)</f>
        <v>0.3482142857142857</v>
      </c>
      <c r="I18" s="517"/>
      <c r="J18" s="346">
        <f>$C$3+J17+Simulatore!$Y$26</f>
        <v>0.3482142857142857</v>
      </c>
      <c r="K18" s="346">
        <f>IF(J13=0,0,K19)</f>
        <v>0.3482142857142857</v>
      </c>
    </row>
    <row r="19" spans="2:11" ht="15">
      <c r="B19" s="3" t="s">
        <v>744</v>
      </c>
      <c r="G19" s="346">
        <f>1-H18</f>
        <v>0.6517857142857143</v>
      </c>
      <c r="H19" s="346">
        <f>IF(G18&lt;$E$18,G18,$E$18)</f>
        <v>0.3482142857142857</v>
      </c>
      <c r="I19" s="326"/>
      <c r="J19" s="346">
        <f>1-K18</f>
        <v>0.6517857142857143</v>
      </c>
      <c r="K19" s="346">
        <f>IF(J18&lt;$E$18,J18,$E$18)</f>
        <v>0.3482142857142857</v>
      </c>
    </row>
    <row r="20" spans="2:10" ht="15">
      <c r="B20" s="3" t="s">
        <v>425</v>
      </c>
      <c r="G20" s="326">
        <f>Simulatore!E29</f>
        <v>20</v>
      </c>
      <c r="J20" s="326">
        <f>Simulatore!G29</f>
        <v>20</v>
      </c>
    </row>
    <row r="21" spans="2:10" ht="15">
      <c r="B21" s="3" t="s">
        <v>426</v>
      </c>
      <c r="E21" s="514" t="s">
        <v>129</v>
      </c>
      <c r="G21" s="520">
        <f>G11*G20*((1-(G12*$E$3)))</f>
        <v>105600</v>
      </c>
      <c r="I21" s="327"/>
      <c r="J21" s="520">
        <f>J11*J20*((1-(J12*$E$3)))</f>
        <v>105600</v>
      </c>
    </row>
    <row r="22" spans="2:19" ht="15">
      <c r="B22" s="3" t="s">
        <v>427</v>
      </c>
      <c r="E22" s="514" t="s">
        <v>129</v>
      </c>
      <c r="G22" s="520">
        <f>G11*$E$3*((1-(G12*$E$3)))</f>
        <v>105600</v>
      </c>
      <c r="I22" s="520"/>
      <c r="J22" s="520">
        <f>J11*$E$3*((1-(J12*$E$3)))</f>
        <v>105600</v>
      </c>
      <c r="S22" s="267"/>
    </row>
    <row r="23" spans="2:23" ht="15">
      <c r="B23" s="3" t="s">
        <v>428</v>
      </c>
      <c r="E23" s="514" t="s">
        <v>129</v>
      </c>
      <c r="G23" s="520">
        <f>G21-G22</f>
        <v>0</v>
      </c>
      <c r="I23" s="517"/>
      <c r="J23" s="520">
        <f>J21-J22</f>
        <v>0</v>
      </c>
      <c r="T23" s="520"/>
      <c r="U23" s="520"/>
      <c r="V23" s="520"/>
      <c r="W23" s="520"/>
    </row>
    <row r="24" spans="2:23" ht="15">
      <c r="B24" s="3" t="s">
        <v>674</v>
      </c>
      <c r="E24" s="514" t="s">
        <v>129</v>
      </c>
      <c r="G24" s="520">
        <f>G22*H18</f>
        <v>36771.42857142857</v>
      </c>
      <c r="H24" s="520"/>
      <c r="I24" s="520"/>
      <c r="J24" s="520">
        <f>J22*K18</f>
        <v>36771.42857142857</v>
      </c>
      <c r="K24" s="520"/>
      <c r="U24" s="520"/>
      <c r="V24" s="520"/>
      <c r="W24" s="520"/>
    </row>
    <row r="25" spans="2:23" ht="15">
      <c r="B25" s="3" t="s">
        <v>451</v>
      </c>
      <c r="E25" s="514" t="s">
        <v>129</v>
      </c>
      <c r="G25" s="520">
        <f>G22*G19</f>
        <v>68828.57142857143</v>
      </c>
      <c r="I25" s="520"/>
      <c r="J25" s="520">
        <f>J22*J19</f>
        <v>68828.57142857143</v>
      </c>
      <c r="L25" s="267"/>
      <c r="T25" s="520"/>
      <c r="U25" s="520"/>
      <c r="V25" s="520"/>
      <c r="W25" s="520"/>
    </row>
    <row r="26" spans="2:23" ht="15">
      <c r="B26" s="3" t="s">
        <v>675</v>
      </c>
      <c r="E26" s="514" t="s">
        <v>129</v>
      </c>
      <c r="G26" s="520">
        <f>G23*H18</f>
        <v>0</v>
      </c>
      <c r="I26" s="520"/>
      <c r="J26" s="520">
        <f>J23*K18</f>
        <v>0</v>
      </c>
      <c r="L26" s="267"/>
      <c r="M26" s="525"/>
      <c r="N26" s="326"/>
      <c r="O26" s="326"/>
      <c r="T26" s="520"/>
      <c r="U26" s="520"/>
      <c r="V26" s="520"/>
      <c r="W26" s="520"/>
    </row>
    <row r="27" spans="2:23" ht="15">
      <c r="B27" s="3" t="s">
        <v>676</v>
      </c>
      <c r="E27" s="514" t="s">
        <v>129</v>
      </c>
      <c r="G27" s="520">
        <f>G23*G19</f>
        <v>0</v>
      </c>
      <c r="I27" s="520"/>
      <c r="J27" s="520">
        <f>J23*J19</f>
        <v>0</v>
      </c>
      <c r="M27" s="517"/>
      <c r="N27" s="517"/>
      <c r="O27" s="520"/>
      <c r="P27" s="326"/>
      <c r="Q27" s="520"/>
      <c r="R27" s="520"/>
      <c r="T27" s="326"/>
      <c r="U27" s="326"/>
      <c r="V27" s="326"/>
      <c r="W27" s="326"/>
    </row>
    <row r="28" spans="9:19" ht="15">
      <c r="I28" s="326"/>
      <c r="M28" s="327"/>
      <c r="N28" s="520"/>
      <c r="O28" s="517"/>
      <c r="P28" s="326"/>
      <c r="Q28" s="520"/>
      <c r="R28" s="520"/>
      <c r="S28" s="267"/>
    </row>
    <row r="29" spans="2:23" ht="15.75">
      <c r="B29" s="514">
        <v>1</v>
      </c>
      <c r="C29" s="514">
        <v>2</v>
      </c>
      <c r="D29" s="514">
        <v>3</v>
      </c>
      <c r="E29" s="514">
        <v>4</v>
      </c>
      <c r="I29" s="311"/>
      <c r="M29" s="517"/>
      <c r="N29" s="520"/>
      <c r="O29" s="517"/>
      <c r="Q29" s="326"/>
      <c r="R29" s="326"/>
      <c r="S29" s="328"/>
      <c r="W29" s="520"/>
    </row>
    <row r="30" spans="2:23" ht="15.75">
      <c r="B30" s="329">
        <v>0.36</v>
      </c>
      <c r="C30" s="329">
        <v>0.5</v>
      </c>
      <c r="D30" s="514" t="s">
        <v>162</v>
      </c>
      <c r="E30" s="514" t="s">
        <v>161</v>
      </c>
      <c r="I30" s="311"/>
      <c r="L30" s="267"/>
      <c r="M30" s="326"/>
      <c r="N30" s="326"/>
      <c r="O30" s="326"/>
      <c r="S30" s="328"/>
      <c r="U30" s="520"/>
      <c r="V30" s="520"/>
      <c r="W30" s="520"/>
    </row>
    <row r="31" spans="4:15" ht="15">
      <c r="D31" s="526" t="s">
        <v>159</v>
      </c>
      <c r="H31" s="517">
        <f>H5</f>
        <v>2</v>
      </c>
      <c r="K31" s="517">
        <f>K5</f>
        <v>2</v>
      </c>
      <c r="L31" s="267"/>
      <c r="M31" s="326"/>
      <c r="N31" s="326"/>
      <c r="O31" s="326"/>
    </row>
    <row r="32" spans="2:24" ht="15">
      <c r="B32" s="3" t="s">
        <v>430</v>
      </c>
      <c r="G32" s="520">
        <f>H173*$H$249</f>
        <v>21496.398</v>
      </c>
      <c r="H32" s="520">
        <f>IF(H31=3,G32,0)</f>
        <v>0</v>
      </c>
      <c r="J32" s="520">
        <f>K173*$K$249</f>
        <v>25517.646</v>
      </c>
      <c r="K32" s="520">
        <f>IF(K31=3,J32,0)</f>
        <v>0</v>
      </c>
      <c r="M32" s="517"/>
      <c r="N32" s="517"/>
      <c r="O32" s="517"/>
      <c r="U32" s="520"/>
      <c r="X32" s="520"/>
    </row>
    <row r="33" spans="2:24" ht="15">
      <c r="B33" s="3" t="s">
        <v>431</v>
      </c>
      <c r="G33" s="520">
        <f>H173*$G$218</f>
        <v>15075.396</v>
      </c>
      <c r="H33" s="520">
        <f>IF(H31=4,G33,0)</f>
        <v>0</v>
      </c>
      <c r="J33" s="520">
        <f>K173*$J$218</f>
        <v>17895.492</v>
      </c>
      <c r="K33" s="520">
        <f>IF(K31=4,J33,0)</f>
        <v>0</v>
      </c>
      <c r="M33" s="326"/>
      <c r="N33" s="326"/>
      <c r="O33" s="326"/>
      <c r="P33" s="326"/>
      <c r="S33" s="267"/>
      <c r="T33" s="326"/>
      <c r="U33" s="326"/>
      <c r="V33" s="326"/>
      <c r="W33" s="326"/>
      <c r="X33" s="520"/>
    </row>
    <row r="34" spans="2:15" ht="15">
      <c r="B34" s="3" t="s">
        <v>439</v>
      </c>
      <c r="G34" s="520">
        <f>H173*$D$219</f>
        <v>11359.807038021001</v>
      </c>
      <c r="H34" s="520">
        <f>IF(H31=1,G34,IF(H31=2,G34,0))</f>
        <v>11359.807038021001</v>
      </c>
      <c r="J34" s="520">
        <f>K173*$D$219</f>
        <v>13484.84218725986</v>
      </c>
      <c r="K34" s="520">
        <f>IF(K31=1,J34,IF(K31=2,J34,0))</f>
        <v>13484.84218725986</v>
      </c>
      <c r="L34" s="513"/>
      <c r="M34" s="520"/>
      <c r="N34" s="520"/>
      <c r="O34" s="517"/>
    </row>
    <row r="35" spans="2:23" ht="15">
      <c r="B35" s="3" t="s">
        <v>434</v>
      </c>
      <c r="G35" s="520">
        <f>G205*$H$246</f>
        <v>7811.210999999999</v>
      </c>
      <c r="H35" s="520">
        <f>IF(H31=3,G35,0)</f>
        <v>0</v>
      </c>
      <c r="J35" s="520">
        <f>J205*$K$246</f>
        <v>5121.674999999999</v>
      </c>
      <c r="K35" s="520">
        <f>IF(K31=3,J35,0)</f>
        <v>0</v>
      </c>
      <c r="M35" s="521"/>
      <c r="N35" s="517"/>
      <c r="O35" s="517"/>
      <c r="P35" s="326"/>
      <c r="S35" s="267"/>
      <c r="T35" s="326"/>
      <c r="U35" s="326"/>
      <c r="V35" s="326"/>
      <c r="W35" s="326"/>
    </row>
    <row r="36" spans="2:23" ht="15">
      <c r="B36" s="3" t="s">
        <v>435</v>
      </c>
      <c r="G36" s="520">
        <f>G205*$G$220</f>
        <v>5081.079000000001</v>
      </c>
      <c r="H36" s="520">
        <f>IF(H31=4,G36,0)</f>
        <v>0</v>
      </c>
      <c r="J36" s="520">
        <f>J205*$J$220</f>
        <v>3331.5750000000003</v>
      </c>
      <c r="K36" s="520">
        <f>IF(K31=4,J36,0)</f>
        <v>0</v>
      </c>
      <c r="M36" s="517"/>
      <c r="N36" s="520"/>
      <c r="O36" s="517"/>
      <c r="S36" s="267"/>
      <c r="T36" s="326"/>
      <c r="U36" s="326"/>
      <c r="V36" s="326"/>
      <c r="W36" s="326"/>
    </row>
    <row r="37" spans="2:18" ht="15">
      <c r="B37" s="3" t="s">
        <v>433</v>
      </c>
      <c r="G37" s="520">
        <f>H174*$B$219</f>
        <v>0</v>
      </c>
      <c r="H37" s="520">
        <f>IF(G20&gt;=21,G37,0)</f>
        <v>0</v>
      </c>
      <c r="I37" s="331"/>
      <c r="J37" s="520">
        <f>K174*$B$219</f>
        <v>0</v>
      </c>
      <c r="K37" s="520">
        <f>IF(J20&gt;=21,J37,0)</f>
        <v>0</v>
      </c>
      <c r="R37" s="520"/>
    </row>
    <row r="38" spans="2:23" ht="15">
      <c r="B38" s="3" t="s">
        <v>432</v>
      </c>
      <c r="G38" s="520">
        <f>H174*$C$219</f>
        <v>0</v>
      </c>
      <c r="H38" s="520">
        <f>IF(G20&gt;=21,G38,0)</f>
        <v>0</v>
      </c>
      <c r="I38" s="520"/>
      <c r="J38" s="520">
        <f>K174*$C$219</f>
        <v>0</v>
      </c>
      <c r="K38" s="520">
        <f>IF(J20&gt;=21,J38,0)</f>
        <v>0</v>
      </c>
      <c r="R38" s="520"/>
      <c r="S38" s="267"/>
      <c r="T38" s="326"/>
      <c r="U38" s="326"/>
      <c r="V38" s="326"/>
      <c r="W38" s="326"/>
    </row>
    <row r="39" spans="5:23" ht="18.75">
      <c r="E39" s="339" t="s">
        <v>446</v>
      </c>
      <c r="G39" s="520">
        <f>SUM(H32:H38)</f>
        <v>11359.807038021001</v>
      </c>
      <c r="H39" s="340">
        <f>IF(G6=0,0,G39)</f>
        <v>11359.807038021001</v>
      </c>
      <c r="I39" s="520"/>
      <c r="J39" s="520">
        <f>SUM(K32:K38)</f>
        <v>13484.84218725986</v>
      </c>
      <c r="K39" s="340">
        <f>IF(J6=0,0,J39)</f>
        <v>13484.84218725986</v>
      </c>
      <c r="R39" s="520"/>
      <c r="S39" s="267"/>
      <c r="T39" s="326"/>
      <c r="U39" s="326"/>
      <c r="V39" s="326"/>
      <c r="W39" s="326"/>
    </row>
    <row r="40" spans="7:23" ht="15">
      <c r="G40" s="520">
        <f>IF(G6=0,0,H40)</f>
        <v>11359.807038021001</v>
      </c>
      <c r="H40" s="520">
        <f>H32+H33+A!H34+H35+H36</f>
        <v>11359.807038021001</v>
      </c>
      <c r="I40" s="520"/>
      <c r="J40" s="520">
        <f>IF(J6=0,0,K40)</f>
        <v>13484.84218725986</v>
      </c>
      <c r="K40" s="520">
        <f>K32+K33+A!K34+K35+K36</f>
        <v>13484.84218725986</v>
      </c>
      <c r="R40" s="520"/>
      <c r="S40" s="267"/>
      <c r="T40" s="326"/>
      <c r="U40" s="326"/>
      <c r="V40" s="326"/>
      <c r="W40" s="326"/>
    </row>
    <row r="41" spans="2:19" ht="15">
      <c r="B41" s="3" t="s">
        <v>738</v>
      </c>
      <c r="G41" s="520">
        <f>G10*$B$226</f>
        <v>5545.321576338398</v>
      </c>
      <c r="H41" s="520">
        <f>IF(H31=$C$29,G41,0)</f>
        <v>5545.321576338398</v>
      </c>
      <c r="I41" s="520"/>
      <c r="J41" s="520">
        <f>J10*$B$226</f>
        <v>5545.321576338398</v>
      </c>
      <c r="K41" s="520">
        <f>IF(K31=$C$29,J41,0)</f>
        <v>5545.321576338398</v>
      </c>
      <c r="R41" s="520"/>
      <c r="S41" s="520"/>
    </row>
    <row r="42" spans="2:19" ht="15">
      <c r="B42" s="3" t="s">
        <v>737</v>
      </c>
      <c r="G42" s="520">
        <f>G10*$B$225</f>
        <v>3992.631534963646</v>
      </c>
      <c r="H42" s="520">
        <f>IF(H31=$B$29,G42,0)</f>
        <v>0</v>
      </c>
      <c r="I42" s="520"/>
      <c r="J42" s="520">
        <f>J10*$B$225</f>
        <v>3992.631534963646</v>
      </c>
      <c r="K42" s="520">
        <f>IF(K31=$B$29,J42,0)</f>
        <v>0</v>
      </c>
      <c r="R42" s="520"/>
      <c r="S42" s="520"/>
    </row>
    <row r="43" spans="2:19" ht="15">
      <c r="B43" s="3" t="s">
        <v>739</v>
      </c>
      <c r="G43" s="520">
        <f>(H113+H114+H115+H116+H117+H148)*$B$224</f>
        <v>1375</v>
      </c>
      <c r="H43" s="520">
        <f>G43</f>
        <v>1375</v>
      </c>
      <c r="I43" s="520"/>
      <c r="J43" s="520">
        <f>(K113+K114+K115+K116+K117+K148)*$B$224</f>
        <v>2475</v>
      </c>
      <c r="K43" s="520">
        <f>J43</f>
        <v>2475</v>
      </c>
      <c r="N43" s="520"/>
      <c r="R43" s="520"/>
      <c r="S43" s="520"/>
    </row>
    <row r="44" spans="5:19" ht="18.75">
      <c r="E44" s="339" t="s">
        <v>445</v>
      </c>
      <c r="G44" s="520">
        <f>SUM(H41:H43)</f>
        <v>6920.321576338398</v>
      </c>
      <c r="H44" s="340">
        <f>G44</f>
        <v>6920.321576338398</v>
      </c>
      <c r="J44" s="520">
        <f>SUM(K41:K43)</f>
        <v>8020.321576338398</v>
      </c>
      <c r="K44" s="340">
        <f>J44</f>
        <v>8020.321576338398</v>
      </c>
      <c r="R44" s="520"/>
      <c r="S44" s="520"/>
    </row>
    <row r="45" spans="7:19" ht="15">
      <c r="G45" s="520">
        <f>H41+H42</f>
        <v>5545.321576338398</v>
      </c>
      <c r="H45" s="517"/>
      <c r="J45" s="520">
        <f>K41+K42</f>
        <v>5545.321576338398</v>
      </c>
      <c r="K45" s="517"/>
      <c r="R45" s="520"/>
      <c r="S45" s="520"/>
    </row>
    <row r="46" spans="8:11" ht="15">
      <c r="H46" s="517"/>
      <c r="K46" s="517"/>
    </row>
    <row r="47" spans="4:19" ht="15">
      <c r="D47" s="526" t="s">
        <v>160</v>
      </c>
      <c r="H47" s="517"/>
      <c r="K47" s="517"/>
      <c r="R47" s="520"/>
      <c r="S47" s="520"/>
    </row>
    <row r="48" spans="2:12" ht="15">
      <c r="B48" s="3" t="s">
        <v>436</v>
      </c>
      <c r="G48" s="520">
        <f>$B$221*G20*G6</f>
        <v>2000</v>
      </c>
      <c r="H48" s="517"/>
      <c r="I48" s="517"/>
      <c r="J48" s="520">
        <f>$B$221*J20*J6</f>
        <v>2000</v>
      </c>
      <c r="K48" s="517"/>
      <c r="L48" s="520"/>
    </row>
    <row r="49" spans="2:19" ht="15">
      <c r="B49" s="3" t="s">
        <v>437</v>
      </c>
      <c r="G49" s="520">
        <f>$C$221*20*G6</f>
        <v>1000</v>
      </c>
      <c r="H49" s="517"/>
      <c r="I49" s="520"/>
      <c r="J49" s="520">
        <f>$C$221*20*J6</f>
        <v>1000</v>
      </c>
      <c r="K49" s="517"/>
      <c r="R49" s="520"/>
      <c r="S49" s="520"/>
    </row>
    <row r="50" spans="2:29" ht="15">
      <c r="B50" s="3" t="s">
        <v>189</v>
      </c>
      <c r="G50" s="520">
        <f>$D$221*G20*G6</f>
        <v>2000</v>
      </c>
      <c r="H50" s="517"/>
      <c r="I50" s="281"/>
      <c r="J50" s="520">
        <f>$D$221*J20*J6</f>
        <v>2000</v>
      </c>
      <c r="K50" s="517"/>
      <c r="X50" s="267"/>
      <c r="Y50" s="520"/>
      <c r="Z50" s="517"/>
      <c r="AA50" s="525"/>
      <c r="AC50" s="520"/>
    </row>
    <row r="51" spans="5:29" ht="18.75">
      <c r="E51" s="339" t="s">
        <v>438</v>
      </c>
      <c r="G51" s="520">
        <f>SUM(G48:G50)</f>
        <v>5000</v>
      </c>
      <c r="H51" s="340">
        <f>IF(G6=0,0,G51)</f>
        <v>5000</v>
      </c>
      <c r="J51" s="520">
        <f>SUM(J48:J50)</f>
        <v>5000</v>
      </c>
      <c r="K51" s="340">
        <f>IF(J6=0,0,J51)</f>
        <v>5000</v>
      </c>
      <c r="Z51" s="520"/>
      <c r="AA51" s="520"/>
      <c r="AB51" s="311"/>
      <c r="AC51" s="520"/>
    </row>
    <row r="52" spans="8:29" ht="15">
      <c r="H52" s="517"/>
      <c r="I52" s="520"/>
      <c r="K52" s="517"/>
      <c r="L52" s="267"/>
      <c r="N52" s="517"/>
      <c r="Q52" s="517"/>
      <c r="R52" s="517"/>
      <c r="Y52" s="311"/>
      <c r="Z52" s="520"/>
      <c r="AA52" s="520"/>
      <c r="AB52" s="517"/>
      <c r="AC52" s="520"/>
    </row>
    <row r="53" spans="5:29" ht="15">
      <c r="E53" s="526" t="s">
        <v>200</v>
      </c>
      <c r="H53" s="517"/>
      <c r="K53" s="517"/>
      <c r="L53" s="518"/>
      <c r="M53" s="518"/>
      <c r="N53" s="520"/>
      <c r="O53" s="520"/>
      <c r="P53" s="520"/>
      <c r="Q53" s="520"/>
      <c r="R53" s="281"/>
      <c r="Y53" s="520"/>
      <c r="Z53" s="520"/>
      <c r="AA53" s="520"/>
      <c r="AB53" s="311"/>
      <c r="AC53" s="520"/>
    </row>
    <row r="54" spans="2:28" ht="15">
      <c r="B54" s="3" t="s">
        <v>519</v>
      </c>
      <c r="G54" s="514" t="str">
        <f>"€"&amp;Simulatore!$AT$8&amp;" kWh"</f>
        <v>€         Metano kWh</v>
      </c>
      <c r="I54" s="281"/>
      <c r="J54" s="514" t="str">
        <f>"€"&amp;Simulatore!$AT$8&amp;" kWh"</f>
        <v>€         Metano kWh</v>
      </c>
      <c r="Y54" s="520"/>
      <c r="Z54" s="520"/>
      <c r="AA54" s="517"/>
      <c r="AB54" s="520"/>
    </row>
    <row r="55" spans="2:29" ht="15">
      <c r="B55" s="3" t="s">
        <v>518</v>
      </c>
      <c r="E55" s="514" t="s">
        <v>138</v>
      </c>
      <c r="G55" s="348">
        <f>Simulatore!$AU$8</f>
        <v>0.091</v>
      </c>
      <c r="I55" s="281"/>
      <c r="J55" s="348">
        <f>Simulatore!$AU$8</f>
        <v>0.091</v>
      </c>
      <c r="Z55" s="520"/>
      <c r="AA55" s="520"/>
      <c r="AB55" s="311"/>
      <c r="AC55" s="520"/>
    </row>
    <row r="56" spans="2:29" ht="15">
      <c r="B56" s="3" t="s">
        <v>523</v>
      </c>
      <c r="E56" s="514" t="s">
        <v>138</v>
      </c>
      <c r="G56" s="520">
        <f>Simulatore!$H$10*Simulatore!E29</f>
        <v>32000</v>
      </c>
      <c r="H56" s="517"/>
      <c r="I56" s="281"/>
      <c r="J56" s="520">
        <f>Simulatore!$H$10*Simulatore!G29</f>
        <v>32000</v>
      </c>
      <c r="Z56" s="520"/>
      <c r="AA56" s="520"/>
      <c r="AB56" s="311"/>
      <c r="AC56" s="520"/>
    </row>
    <row r="57" spans="2:27" ht="15">
      <c r="B57" s="3" t="s">
        <v>689</v>
      </c>
      <c r="E57" s="514" t="s">
        <v>138</v>
      </c>
      <c r="G57" s="520">
        <f>IF(G58=0,0,H57)</f>
        <v>0</v>
      </c>
      <c r="H57" s="520">
        <f>Simulatore!$H$12*Simulatore!$BE$16*$G$20</f>
        <v>0</v>
      </c>
      <c r="J57" s="520">
        <f>IF(J58=0,0,K57)</f>
        <v>0</v>
      </c>
      <c r="K57" s="520">
        <f>Simulatore!$H$12*Simulatore!$BE$16*$G$20</f>
        <v>0</v>
      </c>
      <c r="O57" s="520"/>
      <c r="Z57" s="281"/>
      <c r="AA57" s="520"/>
    </row>
    <row r="58" spans="2:27" ht="15">
      <c r="B58" s="3" t="s">
        <v>700</v>
      </c>
      <c r="E58" s="514" t="s">
        <v>129</v>
      </c>
      <c r="G58" s="520">
        <f>Simulatore!$BC$16*G20</f>
        <v>0</v>
      </c>
      <c r="H58" s="520">
        <f>IF(G58=0,0,H57)</f>
        <v>0</v>
      </c>
      <c r="J58" s="520">
        <f>Simulatore!$BC$16*J20</f>
        <v>0</v>
      </c>
      <c r="K58" s="520">
        <f>IF(J58=0,0,K57)</f>
        <v>0</v>
      </c>
      <c r="O58" s="520"/>
      <c r="Z58" s="281"/>
      <c r="AA58" s="520"/>
    </row>
    <row r="59" spans="7:27" ht="15">
      <c r="G59" s="517"/>
      <c r="O59" s="520"/>
      <c r="Z59" s="281"/>
      <c r="AA59" s="520"/>
    </row>
    <row r="60" spans="2:29" ht="15">
      <c r="B60" s="3" t="s">
        <v>524</v>
      </c>
      <c r="G60" s="520">
        <f>G56+G57-G61</f>
        <v>27632</v>
      </c>
      <c r="J60" s="520">
        <f>J56+J57-J61</f>
        <v>28942.4</v>
      </c>
      <c r="R60" s="281"/>
      <c r="X60" s="267"/>
      <c r="Z60" s="281"/>
      <c r="AA60" s="326"/>
      <c r="AC60" s="520"/>
    </row>
    <row r="61" spans="2:18" ht="15">
      <c r="B61" s="3" t="s">
        <v>517</v>
      </c>
      <c r="G61" s="520">
        <f>H145</f>
        <v>4368</v>
      </c>
      <c r="H61" s="281"/>
      <c r="J61" s="520">
        <f>K145</f>
        <v>3057.6</v>
      </c>
      <c r="K61" s="281"/>
      <c r="R61" s="281"/>
    </row>
    <row r="62" spans="2:18" ht="15">
      <c r="B62" s="3" t="s">
        <v>522</v>
      </c>
      <c r="G62" s="520">
        <f>G56/G55+G58</f>
        <v>351648.35164835164</v>
      </c>
      <c r="H62" s="520">
        <f>G62/G20</f>
        <v>17582.417582417584</v>
      </c>
      <c r="I62" s="281"/>
      <c r="J62" s="520">
        <f>J56/J55+J58</f>
        <v>351648.35164835164</v>
      </c>
      <c r="K62" s="520">
        <f>J62/J20</f>
        <v>17582.417582417584</v>
      </c>
      <c r="O62" s="520"/>
      <c r="R62" s="281"/>
    </row>
    <row r="63" spans="2:18" ht="15">
      <c r="B63" s="3" t="s">
        <v>525</v>
      </c>
      <c r="G63" s="520">
        <f>IF(H63&lt;=0,0,H63)</f>
        <v>303648.35164835164</v>
      </c>
      <c r="H63" s="281">
        <f>G62-H64</f>
        <v>303648.35164835164</v>
      </c>
      <c r="I63" s="281"/>
      <c r="J63" s="520">
        <f>IF(K63&lt;=0,0,K63)</f>
        <v>318048.35164835164</v>
      </c>
      <c r="K63" s="281">
        <f>J62-K64</f>
        <v>318048.35164835164</v>
      </c>
      <c r="O63" s="520"/>
      <c r="R63" s="281"/>
    </row>
    <row r="64" spans="2:15" ht="15">
      <c r="B64" s="3" t="s">
        <v>527</v>
      </c>
      <c r="G64" s="520">
        <f>(G61-G57)/G55+G58</f>
        <v>48000</v>
      </c>
      <c r="H64" s="520">
        <f>IF(G61=0,0,G64)</f>
        <v>48000</v>
      </c>
      <c r="I64" s="332"/>
      <c r="J64" s="520">
        <f>(J61-J57)/J55+J58</f>
        <v>33600</v>
      </c>
      <c r="K64" s="520">
        <f>IF(J61=0,0,J64)</f>
        <v>33600</v>
      </c>
      <c r="O64" s="520"/>
    </row>
    <row r="65" spans="2:18" ht="15">
      <c r="B65" s="3" t="s">
        <v>528</v>
      </c>
      <c r="G65" s="520">
        <f>D!H15</f>
        <v>0</v>
      </c>
      <c r="J65" s="520">
        <f>D!K15</f>
        <v>0</v>
      </c>
      <c r="R65" s="281"/>
    </row>
    <row r="66" spans="2:18" ht="15">
      <c r="B66" s="3" t="s">
        <v>526</v>
      </c>
      <c r="G66" s="520">
        <f>D!H16</f>
        <v>0</v>
      </c>
      <c r="J66" s="520">
        <f>D!K16</f>
        <v>0</v>
      </c>
      <c r="R66" s="281"/>
    </row>
    <row r="67" spans="2:18" ht="15">
      <c r="B67" s="3" t="s">
        <v>520</v>
      </c>
      <c r="E67" s="520"/>
      <c r="G67" s="520">
        <f>G170</f>
        <v>70000</v>
      </c>
      <c r="H67" s="335">
        <f>(G71/G67)</f>
        <v>1.5085714285714287</v>
      </c>
      <c r="J67" s="520">
        <f>J170</f>
        <v>70000</v>
      </c>
      <c r="K67" s="335">
        <f>J71/J67</f>
        <v>1.5085714285714287</v>
      </c>
      <c r="O67" s="520"/>
      <c r="R67" s="281"/>
    </row>
    <row r="68" spans="2:17" ht="15">
      <c r="B68" s="3" t="s">
        <v>521</v>
      </c>
      <c r="G68" s="520">
        <f>G190+G207</f>
        <v>86000</v>
      </c>
      <c r="H68" s="349">
        <f>IF(H67&gt;=1,1,H67)</f>
        <v>1</v>
      </c>
      <c r="I68" s="518"/>
      <c r="J68" s="520">
        <f>J190+J207</f>
        <v>70000</v>
      </c>
      <c r="K68" s="335">
        <f>IF(K67&gt;=1,1,K67)</f>
        <v>1</v>
      </c>
      <c r="L68" s="267"/>
      <c r="M68" s="267"/>
      <c r="N68" s="267"/>
      <c r="O68" s="267"/>
      <c r="Q68" s="522"/>
    </row>
    <row r="69" spans="2:17" ht="15.75">
      <c r="B69" s="267" t="s">
        <v>529</v>
      </c>
      <c r="E69" s="520"/>
      <c r="G69" s="326">
        <f>G67+G62+G65</f>
        <v>421648.35164835164</v>
      </c>
      <c r="I69" s="281"/>
      <c r="J69" s="326">
        <f>J67+J62+J65</f>
        <v>421648.35164835164</v>
      </c>
      <c r="L69" s="260"/>
      <c r="M69" s="260"/>
      <c r="N69" s="260"/>
      <c r="Q69" s="267"/>
    </row>
    <row r="70" spans="2:15" ht="15">
      <c r="B70" s="267" t="s">
        <v>530</v>
      </c>
      <c r="C70" s="267"/>
      <c r="D70" s="267"/>
      <c r="E70" s="326"/>
      <c r="F70" s="267"/>
      <c r="G70" s="326">
        <f>G68+G63+G66</f>
        <v>389648.35164835164</v>
      </c>
      <c r="H70" s="350">
        <f>1-(G72/G62)</f>
        <v>0.19223749999999995</v>
      </c>
      <c r="J70" s="326">
        <f>J68+J63+J66</f>
        <v>388048.35164835164</v>
      </c>
      <c r="K70" s="517"/>
      <c r="O70" s="333"/>
    </row>
    <row r="71" spans="2:11" ht="15">
      <c r="B71" s="267" t="s">
        <v>531</v>
      </c>
      <c r="C71" s="267"/>
      <c r="D71" s="267"/>
      <c r="E71" s="326"/>
      <c r="F71" s="326"/>
      <c r="G71" s="326">
        <f>G21</f>
        <v>105600</v>
      </c>
      <c r="H71" s="335">
        <f>IF(H70&gt;=1,1,H70)</f>
        <v>0.19223749999999995</v>
      </c>
      <c r="I71" s="286"/>
      <c r="J71" s="326">
        <f>J21</f>
        <v>105600</v>
      </c>
      <c r="K71" s="520"/>
    </row>
    <row r="72" spans="2:14" ht="15.75">
      <c r="B72" s="260" t="s">
        <v>532</v>
      </c>
      <c r="C72" s="334"/>
      <c r="D72" s="334"/>
      <c r="E72" s="334"/>
      <c r="F72" s="334"/>
      <c r="G72" s="351">
        <f>G70-G71</f>
        <v>284048.35164835164</v>
      </c>
      <c r="H72" s="349">
        <f>IF(H71=1,H71,H75)</f>
        <v>0.3263382851185822</v>
      </c>
      <c r="I72" s="286"/>
      <c r="J72" s="351">
        <f>J70-J71</f>
        <v>282448.35164835164</v>
      </c>
      <c r="K72" s="520"/>
      <c r="N72" s="281"/>
    </row>
    <row r="73" spans="2:13" ht="15">
      <c r="B73" s="281" t="s">
        <v>533</v>
      </c>
      <c r="E73" s="520"/>
      <c r="F73" s="520"/>
      <c r="G73" s="520">
        <f>G68-G71</f>
        <v>-19600</v>
      </c>
      <c r="I73" s="286"/>
      <c r="J73" s="520">
        <f>J68-J71</f>
        <v>-35600</v>
      </c>
      <c r="M73" s="335">
        <f>H71+H74</f>
        <v>0.19223749999999995</v>
      </c>
    </row>
    <row r="74" spans="5:9" ht="18.75">
      <c r="E74" s="339" t="s">
        <v>534</v>
      </c>
      <c r="F74" s="520"/>
      <c r="G74" s="335">
        <f>H75-1</f>
        <v>-0.6736617148814178</v>
      </c>
      <c r="H74" s="349">
        <f>IF(G74&lt;=0,0,G74)</f>
        <v>0</v>
      </c>
      <c r="I74" s="286"/>
    </row>
    <row r="75" spans="2:11" ht="18.75">
      <c r="B75" s="3" t="s">
        <v>702</v>
      </c>
      <c r="E75" s="520"/>
      <c r="F75" s="520"/>
      <c r="G75" s="346">
        <f>G72/G69</f>
        <v>0.6736617148814178</v>
      </c>
      <c r="H75" s="352">
        <f>1-G75</f>
        <v>0.3263382851185822</v>
      </c>
      <c r="I75" s="286"/>
      <c r="J75" s="346">
        <f>J72/J69</f>
        <v>0.6698670836591086</v>
      </c>
      <c r="K75" s="352">
        <f>1-J75</f>
        <v>0.33013291634089137</v>
      </c>
    </row>
    <row r="76" spans="5:11" ht="15">
      <c r="E76" s="520"/>
      <c r="F76" s="520"/>
      <c r="H76" s="520"/>
      <c r="I76" s="286"/>
      <c r="K76" s="520"/>
    </row>
    <row r="77" spans="5:14" ht="15">
      <c r="E77" s="267" t="s">
        <v>487</v>
      </c>
      <c r="H77" s="514"/>
      <c r="K77" s="514"/>
      <c r="L77" s="517"/>
      <c r="N77" s="517"/>
    </row>
    <row r="78" spans="2:17" ht="15">
      <c r="B78" s="515" t="s">
        <v>477</v>
      </c>
      <c r="G78" s="517" t="str">
        <f>Simulatore!$AT$8</f>
        <v>         Metano</v>
      </c>
      <c r="H78" s="311">
        <f>Simulatore!$AV$8</f>
        <v>0.3</v>
      </c>
      <c r="J78" s="517" t="str">
        <f>Simulatore!$AT$8</f>
        <v>         Metano</v>
      </c>
      <c r="K78" s="311">
        <f>Simulatore!$AV$8</f>
        <v>0.3</v>
      </c>
      <c r="L78" s="517"/>
      <c r="N78" s="517"/>
      <c r="Q78" s="336"/>
    </row>
    <row r="79" spans="2:14" ht="15">
      <c r="B79" s="515" t="s">
        <v>477</v>
      </c>
      <c r="G79" s="517" t="str">
        <f>Simulatore!AT10</f>
        <v>   En. Elettrica</v>
      </c>
      <c r="H79" s="517">
        <f>Simulatore!$AV$10</f>
        <v>0.53</v>
      </c>
      <c r="J79" s="517" t="str">
        <f>Simulatore!AT10</f>
        <v>   En. Elettrica</v>
      </c>
      <c r="K79" s="517">
        <f>Simulatore!$AV$10</f>
        <v>0.53</v>
      </c>
      <c r="L79" s="517"/>
      <c r="N79" s="517"/>
    </row>
    <row r="80" spans="2:11" ht="15">
      <c r="B80" s="515" t="s">
        <v>478</v>
      </c>
      <c r="G80" s="517" t="str">
        <f>Simulatore!AT8</f>
        <v>         Metano</v>
      </c>
      <c r="H80" s="517">
        <f>Simulatore!$AW$8</f>
        <v>0.025</v>
      </c>
      <c r="J80" s="517" t="str">
        <f>Simulatore!AT8</f>
        <v>         Metano</v>
      </c>
      <c r="K80" s="517">
        <f>Simulatore!$AW$8</f>
        <v>0.025</v>
      </c>
    </row>
    <row r="81" spans="2:15" ht="15">
      <c r="B81" s="515" t="s">
        <v>478</v>
      </c>
      <c r="G81" s="517" t="str">
        <f>Simulatore!AT10</f>
        <v>   En. Elettrica</v>
      </c>
      <c r="H81" s="517">
        <f>Simulatore!$AW$10</f>
        <v>0.041</v>
      </c>
      <c r="J81" s="517" t="str">
        <f>Simulatore!AT10</f>
        <v>   En. Elettrica</v>
      </c>
      <c r="K81" s="517">
        <f>Simulatore!$AW$10</f>
        <v>0.041</v>
      </c>
      <c r="O81" s="520"/>
    </row>
    <row r="82" spans="7:15" ht="15">
      <c r="G82" s="517"/>
      <c r="J82" s="517"/>
      <c r="O82" s="520"/>
    </row>
    <row r="83" spans="7:15" ht="15">
      <c r="G83" s="517" t="s">
        <v>479</v>
      </c>
      <c r="H83" s="517" t="s">
        <v>480</v>
      </c>
      <c r="I83" s="517"/>
      <c r="J83" s="517" t="s">
        <v>479</v>
      </c>
      <c r="K83" s="517" t="s">
        <v>480</v>
      </c>
      <c r="O83" s="520"/>
    </row>
    <row r="84" spans="2:15" ht="15">
      <c r="B84" s="515" t="s">
        <v>485</v>
      </c>
      <c r="D84" s="517"/>
      <c r="E84" s="520"/>
      <c r="G84" s="520">
        <f>G67*H79</f>
        <v>37100</v>
      </c>
      <c r="H84" s="520">
        <f>G73*H79</f>
        <v>-10388</v>
      </c>
      <c r="I84" s="520"/>
      <c r="J84" s="520">
        <f>J67*K79</f>
        <v>37100</v>
      </c>
      <c r="K84" s="520">
        <f>J73*K79</f>
        <v>-18868</v>
      </c>
      <c r="O84" s="520"/>
    </row>
    <row r="85" spans="2:15" ht="15">
      <c r="B85" s="515" t="s">
        <v>486</v>
      </c>
      <c r="E85" s="520"/>
      <c r="G85" s="520">
        <f>G62*H78</f>
        <v>105494.50549450549</v>
      </c>
      <c r="H85" s="520">
        <f>G63*H78</f>
        <v>91094.50549450549</v>
      </c>
      <c r="I85" s="520"/>
      <c r="J85" s="520">
        <f>J62*K78</f>
        <v>105494.50549450549</v>
      </c>
      <c r="K85" s="520">
        <f>J63*K78</f>
        <v>95414.50549450549</v>
      </c>
      <c r="O85" s="520"/>
    </row>
    <row r="86" spans="3:15" ht="18.75">
      <c r="C86" s="337"/>
      <c r="D86" s="516" t="s">
        <v>482</v>
      </c>
      <c r="E86" s="519" t="s">
        <v>481</v>
      </c>
      <c r="F86" s="337"/>
      <c r="G86" s="340">
        <f>SUM(G84:G85)</f>
        <v>142594.5054945055</v>
      </c>
      <c r="H86" s="340">
        <f>SUM(H84:H85)</f>
        <v>80706.50549450549</v>
      </c>
      <c r="I86" s="520"/>
      <c r="J86" s="340">
        <f>SUM(J84:J85)</f>
        <v>142594.5054945055</v>
      </c>
      <c r="K86" s="340">
        <f>SUM(K84:K85)</f>
        <v>76546.50549450549</v>
      </c>
      <c r="O86" s="520"/>
    </row>
    <row r="87" spans="2:15" ht="15">
      <c r="B87" s="515"/>
      <c r="C87" s="520"/>
      <c r="D87" s="517"/>
      <c r="E87" s="520"/>
      <c r="G87" s="517" t="s">
        <v>479</v>
      </c>
      <c r="H87" s="517" t="s">
        <v>480</v>
      </c>
      <c r="I87" s="520"/>
      <c r="J87" s="517" t="s">
        <v>479</v>
      </c>
      <c r="K87" s="517" t="s">
        <v>480</v>
      </c>
      <c r="O87" s="520"/>
    </row>
    <row r="88" spans="2:15" ht="15">
      <c r="B88" s="515" t="s">
        <v>485</v>
      </c>
      <c r="C88" s="520"/>
      <c r="D88" s="517"/>
      <c r="E88" s="520"/>
      <c r="G88" s="520">
        <f>G67*H81</f>
        <v>2870</v>
      </c>
      <c r="H88" s="520">
        <f>G73*H81</f>
        <v>-803.6</v>
      </c>
      <c r="I88" s="520"/>
      <c r="J88" s="520">
        <f>J67*K81</f>
        <v>2870</v>
      </c>
      <c r="K88" s="520">
        <f>J73*K81</f>
        <v>-1459.6000000000001</v>
      </c>
      <c r="O88" s="520"/>
    </row>
    <row r="89" spans="2:15" ht="15">
      <c r="B89" s="515" t="s">
        <v>486</v>
      </c>
      <c r="E89" s="520"/>
      <c r="G89" s="520">
        <f>G62*H80</f>
        <v>8791.208791208792</v>
      </c>
      <c r="H89" s="520">
        <f>G63*H80</f>
        <v>7591.208791208792</v>
      </c>
      <c r="I89" s="520"/>
      <c r="J89" s="520">
        <f>J62*K80</f>
        <v>8791.208791208792</v>
      </c>
      <c r="K89" s="520">
        <f>J63*K80</f>
        <v>7951.208791208792</v>
      </c>
      <c r="O89" s="520"/>
    </row>
    <row r="90" spans="3:15" ht="18.75">
      <c r="C90" s="340"/>
      <c r="D90" s="516" t="s">
        <v>483</v>
      </c>
      <c r="E90" s="519" t="s">
        <v>481</v>
      </c>
      <c r="F90" s="337"/>
      <c r="G90" s="340">
        <f>SUM(G88:G89)</f>
        <v>11661.208791208792</v>
      </c>
      <c r="H90" s="340">
        <f>SUM(H88:H89)</f>
        <v>6787.608791208791</v>
      </c>
      <c r="I90" s="520"/>
      <c r="J90" s="340">
        <f>SUM(J88:J89)</f>
        <v>11661.208791208792</v>
      </c>
      <c r="K90" s="340">
        <f>SUM(K88:K89)</f>
        <v>6491.608791208791</v>
      </c>
      <c r="O90" s="520"/>
    </row>
    <row r="91" spans="3:15" ht="15">
      <c r="C91" s="520"/>
      <c r="D91" s="517"/>
      <c r="E91" s="520"/>
      <c r="F91" s="517"/>
      <c r="H91" s="517"/>
      <c r="I91" s="520"/>
      <c r="K91" s="517"/>
      <c r="O91" s="520"/>
    </row>
    <row r="92" spans="2:7" ht="18.75">
      <c r="B92" s="514" t="s">
        <v>331</v>
      </c>
      <c r="C92" s="517">
        <f>IF(D93=1,E94,E93)</f>
        <v>0.38999999999999996</v>
      </c>
      <c r="D92" s="517">
        <v>0.05</v>
      </c>
      <c r="E92" s="520">
        <v>5</v>
      </c>
      <c r="G92" s="519" t="s">
        <v>694</v>
      </c>
    </row>
    <row r="93" spans="2:7" ht="15">
      <c r="B93" s="353" t="s">
        <v>166</v>
      </c>
      <c r="C93" s="327">
        <f>C94+D94</f>
        <v>150.58869701726846</v>
      </c>
      <c r="D93" s="517">
        <f>Simulatore!BB16</f>
        <v>1</v>
      </c>
      <c r="E93" s="517">
        <v>0.35</v>
      </c>
      <c r="G93" s="522" t="s">
        <v>690</v>
      </c>
    </row>
    <row r="94" spans="2:8" ht="15">
      <c r="B94" s="517" t="s">
        <v>47</v>
      </c>
      <c r="C94" s="327">
        <f>Simulatore!AX24-D94</f>
        <v>125.58869701726846</v>
      </c>
      <c r="D94" s="354">
        <f>G13/C102</f>
        <v>25</v>
      </c>
      <c r="E94" s="517">
        <f>E93+0.04</f>
        <v>0.38999999999999996</v>
      </c>
      <c r="G94" s="515" t="s">
        <v>688</v>
      </c>
      <c r="H94" s="517">
        <f>Simulatore!BC16</f>
        <v>0</v>
      </c>
    </row>
    <row r="95" spans="2:18" ht="15">
      <c r="B95" s="514" t="s">
        <v>152</v>
      </c>
      <c r="C95" s="355">
        <v>3</v>
      </c>
      <c r="D95" s="514" t="s">
        <v>164</v>
      </c>
      <c r="E95" s="355">
        <f>Simulatore!AN6+Simulatore!AP16</f>
        <v>2.5</v>
      </c>
      <c r="G95" s="515" t="s">
        <v>689</v>
      </c>
      <c r="H95" s="517">
        <f>H57/G20</f>
        <v>0</v>
      </c>
      <c r="J95" s="514"/>
      <c r="R95" s="520"/>
    </row>
    <row r="96" spans="2:18" ht="15">
      <c r="B96" s="338" t="s">
        <v>538</v>
      </c>
      <c r="C96" s="520"/>
      <c r="D96" s="523" t="s">
        <v>333</v>
      </c>
      <c r="E96" s="338">
        <f>E102/E95-C97</f>
        <v>6232.967032967033</v>
      </c>
      <c r="G96" s="515" t="s">
        <v>691</v>
      </c>
      <c r="H96" s="517">
        <f>H94*Simulatore!AV14/20</f>
        <v>0</v>
      </c>
      <c r="R96" s="520"/>
    </row>
    <row r="97" spans="2:8" ht="15">
      <c r="B97" s="523" t="s">
        <v>152</v>
      </c>
      <c r="C97" s="338">
        <f>E104*D103/C95</f>
        <v>800</v>
      </c>
      <c r="D97" s="523" t="s">
        <v>165</v>
      </c>
      <c r="E97" s="338">
        <f>C94*E92</f>
        <v>627.9434850863423</v>
      </c>
      <c r="G97" s="515" t="s">
        <v>692</v>
      </c>
      <c r="H97" s="517">
        <f>H94*Simulatore!AW14</f>
        <v>0</v>
      </c>
    </row>
    <row r="98" spans="2:17" ht="15">
      <c r="B98" s="526" t="s">
        <v>537</v>
      </c>
      <c r="C98" s="338">
        <f>Simulatore!H10+H95</f>
        <v>1600</v>
      </c>
      <c r="D98" s="514" t="s">
        <v>376</v>
      </c>
      <c r="E98" s="338">
        <f>C98*G20</f>
        <v>32000</v>
      </c>
      <c r="F98" s="338"/>
      <c r="G98" s="515"/>
      <c r="H98" s="338"/>
      <c r="I98" s="514"/>
      <c r="J98" s="514"/>
      <c r="K98" s="338"/>
      <c r="L98" s="338"/>
      <c r="Q98" s="517"/>
    </row>
    <row r="99" spans="2:17" ht="15">
      <c r="B99" s="514" t="s">
        <v>372</v>
      </c>
      <c r="C99" s="338">
        <f>E102*G55-C100-C101</f>
        <v>1470</v>
      </c>
      <c r="D99" s="514" t="s">
        <v>374</v>
      </c>
      <c r="E99" s="338">
        <f>C99*G20</f>
        <v>29400</v>
      </c>
      <c r="F99" s="338"/>
      <c r="G99" s="522" t="s">
        <v>693</v>
      </c>
      <c r="H99" s="338"/>
      <c r="I99" s="514"/>
      <c r="J99" s="514"/>
      <c r="K99" s="338"/>
      <c r="L99" s="338"/>
      <c r="Q99" s="517"/>
    </row>
    <row r="100" spans="2:17" ht="15">
      <c r="B100" s="514" t="s">
        <v>373</v>
      </c>
      <c r="C100" s="338">
        <f>D103*25</f>
        <v>100</v>
      </c>
      <c r="D100" s="514" t="s">
        <v>375</v>
      </c>
      <c r="E100" s="338">
        <f>C100*G20</f>
        <v>2000</v>
      </c>
      <c r="F100" s="338"/>
      <c r="G100" s="515" t="s">
        <v>688</v>
      </c>
      <c r="H100" s="520">
        <f>H94*G20</f>
        <v>0</v>
      </c>
      <c r="I100" s="514"/>
      <c r="J100" s="514"/>
      <c r="K100" s="338"/>
      <c r="L100" s="338"/>
      <c r="Q100" s="517"/>
    </row>
    <row r="101" spans="2:11" ht="15">
      <c r="B101" s="514" t="s">
        <v>371</v>
      </c>
      <c r="C101" s="338">
        <v>30</v>
      </c>
      <c r="D101" s="514" t="s">
        <v>375</v>
      </c>
      <c r="E101" s="338">
        <f>C101*G20</f>
        <v>600</v>
      </c>
      <c r="G101" s="515" t="s">
        <v>689</v>
      </c>
      <c r="H101" s="520">
        <f>H95*G20</f>
        <v>0</v>
      </c>
      <c r="J101" s="514"/>
      <c r="K101" s="338"/>
    </row>
    <row r="102" spans="2:17" ht="15">
      <c r="B102" s="514" t="s">
        <v>167</v>
      </c>
      <c r="C102" s="338">
        <f>Simulatore!C10</f>
        <v>140</v>
      </c>
      <c r="D102" s="514" t="s">
        <v>536</v>
      </c>
      <c r="E102" s="520">
        <f>Simulatore!H10/Simulatore!AU8</f>
        <v>17582.417582417584</v>
      </c>
      <c r="F102" s="338"/>
      <c r="G102" s="515" t="s">
        <v>691</v>
      </c>
      <c r="H102" s="520">
        <f>H96*G20</f>
        <v>0</v>
      </c>
      <c r="J102" s="514"/>
      <c r="K102" s="338"/>
      <c r="M102" s="514"/>
      <c r="N102" s="338"/>
      <c r="O102" s="514"/>
      <c r="P102" s="338"/>
      <c r="Q102" s="517"/>
    </row>
    <row r="103" spans="2:17" ht="15">
      <c r="B103" s="3" t="s">
        <v>329</v>
      </c>
      <c r="D103" s="520">
        <f>Simulatore!C9</f>
        <v>4</v>
      </c>
      <c r="E103" s="3" t="s">
        <v>330</v>
      </c>
      <c r="F103" s="338"/>
      <c r="G103" s="515" t="s">
        <v>692</v>
      </c>
      <c r="H103" s="520">
        <f>H97*G20</f>
        <v>0</v>
      </c>
      <c r="J103" s="514"/>
      <c r="K103" s="338"/>
      <c r="M103" s="514"/>
      <c r="N103" s="338"/>
      <c r="O103" s="514"/>
      <c r="P103" s="338"/>
      <c r="Q103" s="517"/>
    </row>
    <row r="104" spans="4:17" ht="15">
      <c r="D104" s="514" t="s">
        <v>332</v>
      </c>
      <c r="E104" s="338">
        <v>600</v>
      </c>
      <c r="F104" s="338"/>
      <c r="G104" s="514"/>
      <c r="H104" s="338"/>
      <c r="J104" s="514"/>
      <c r="K104" s="338"/>
      <c r="M104" s="514"/>
      <c r="N104" s="338"/>
      <c r="O104" s="514"/>
      <c r="P104" s="338"/>
      <c r="Q104" s="517"/>
    </row>
    <row r="105" spans="7:11" ht="18.75">
      <c r="G105" s="661" t="s">
        <v>316</v>
      </c>
      <c r="H105" s="661"/>
      <c r="J105" s="661" t="s">
        <v>317</v>
      </c>
      <c r="K105" s="661"/>
    </row>
    <row r="106" ht="15.75">
      <c r="E106" s="344" t="s">
        <v>366</v>
      </c>
    </row>
    <row r="107" spans="2:11" ht="15.75">
      <c r="B107" s="3" t="s">
        <v>776</v>
      </c>
      <c r="E107" s="344"/>
      <c r="G107" s="520">
        <f>D94</f>
        <v>25</v>
      </c>
      <c r="H107" s="281">
        <f>Simulatore!AZ26</f>
        <v>150.58869701726846</v>
      </c>
      <c r="J107" s="327">
        <f>D94</f>
        <v>25</v>
      </c>
      <c r="K107" s="318">
        <f>Simulatore!AZ25</f>
        <v>150.58869701726846</v>
      </c>
    </row>
    <row r="108" spans="2:11" ht="15">
      <c r="B108" s="3" t="s">
        <v>775</v>
      </c>
      <c r="D108" s="520"/>
      <c r="E108" s="520"/>
      <c r="F108" s="520"/>
      <c r="G108" s="345">
        <f>IF(H107&gt;=$C$94,$C$94,H107)</f>
        <v>125.58869701726846</v>
      </c>
      <c r="H108" s="520">
        <f>IF(H109=2,G108,$C$94)</f>
        <v>125.58869701726846</v>
      </c>
      <c r="J108" s="520">
        <f>IF(K107&gt;=$C$94,$C$94,K107)</f>
        <v>125.58869701726846</v>
      </c>
      <c r="K108" s="520">
        <f>IF(K109=2,J108,$C$94)</f>
        <v>125.58869701726846</v>
      </c>
    </row>
    <row r="109" spans="2:16" ht="15">
      <c r="B109" s="3" t="s">
        <v>148</v>
      </c>
      <c r="D109" s="520"/>
      <c r="E109" s="520"/>
      <c r="F109" s="520"/>
      <c r="G109" s="517" t="str">
        <f>Simulatore!AU26</f>
        <v>no</v>
      </c>
      <c r="H109" s="517">
        <f>Simulatore!AS26</f>
        <v>1</v>
      </c>
      <c r="J109" s="517" t="str">
        <f>Simulatore!AU23</f>
        <v>no</v>
      </c>
      <c r="K109" s="517">
        <f>Simulatore!AS23</f>
        <v>1</v>
      </c>
      <c r="P109" s="520"/>
    </row>
    <row r="110" spans="2:11" ht="15">
      <c r="B110" s="3" t="s">
        <v>146</v>
      </c>
      <c r="G110" s="517" t="str">
        <f>Simulatore!C102</f>
        <v>ACS</v>
      </c>
      <c r="H110" s="517">
        <f>Simulatore!A102</f>
        <v>3</v>
      </c>
      <c r="J110" s="517" t="str">
        <f>Simulatore!C113</f>
        <v>ST</v>
      </c>
      <c r="K110" s="517">
        <f>Simulatore!A113</f>
        <v>4</v>
      </c>
    </row>
    <row r="111" spans="2:11" ht="15">
      <c r="B111" s="3" t="s">
        <v>264</v>
      </c>
      <c r="G111" s="517" t="str">
        <f>Simulatore!C53</f>
        <v>no</v>
      </c>
      <c r="H111" s="517">
        <f>Simulatore!A53</f>
        <v>1</v>
      </c>
      <c r="J111" s="517" t="str">
        <f>Simulatore!C52</f>
        <v>no</v>
      </c>
      <c r="K111" s="517">
        <f>Simulatore!A52</f>
        <v>1</v>
      </c>
    </row>
    <row r="112" spans="3:11" ht="15">
      <c r="C112" s="267"/>
      <c r="D112" s="526" t="s">
        <v>535</v>
      </c>
      <c r="E112" s="326"/>
      <c r="F112" s="326"/>
      <c r="G112" s="326">
        <f>$C$102*G108</f>
        <v>17582.417582417584</v>
      </c>
      <c r="H112" s="326">
        <f>IF(H109=2,G112,$E$102)</f>
        <v>17582.417582417584</v>
      </c>
      <c r="J112" s="326">
        <f>$C$102*J108</f>
        <v>17582.417582417584</v>
      </c>
      <c r="K112" s="326">
        <f>IF(K109=2,J112,$E$102)</f>
        <v>17582.417582417584</v>
      </c>
    </row>
    <row r="113" spans="2:11" ht="15">
      <c r="B113" s="3" t="s">
        <v>339</v>
      </c>
      <c r="D113" s="520"/>
      <c r="E113" s="520"/>
      <c r="F113" s="520"/>
      <c r="G113" s="520">
        <f>H112*$C$92</f>
        <v>6857.142857142857</v>
      </c>
      <c r="H113" s="520">
        <f>IF(H110=2,G113,0)</f>
        <v>0</v>
      </c>
      <c r="J113" s="520">
        <f>K112*$C$92</f>
        <v>6857.142857142857</v>
      </c>
      <c r="K113" s="520">
        <f>IF(K110=2,J113,0)</f>
        <v>0</v>
      </c>
    </row>
    <row r="114" spans="2:11" ht="15">
      <c r="B114" s="3" t="s">
        <v>338</v>
      </c>
      <c r="D114" s="520"/>
      <c r="E114" s="520"/>
      <c r="F114" s="520"/>
      <c r="G114" s="520">
        <f>IF($D$103=1,1800,IF($D$103=2,1800,IF($D$103=3,2000,IF($D$103=4,2500,IF($D$103=5,2500,IF($D$103=6,3000))))))</f>
        <v>2500</v>
      </c>
      <c r="H114" s="520">
        <f>IF(H110=3,G114,0)</f>
        <v>2500</v>
      </c>
      <c r="J114" s="520">
        <f>IF($D$103=1,1800,IF($D$103=2,1800,IF($D$103=3,2000,IF($D$103=4,2500,IF($D$103=5,2500,IF($D$103=6,3000))))))</f>
        <v>2500</v>
      </c>
      <c r="K114" s="520">
        <f>IF(K110=3,J114,0)</f>
        <v>0</v>
      </c>
    </row>
    <row r="115" spans="2:11" ht="15">
      <c r="B115" s="3" t="s">
        <v>352</v>
      </c>
      <c r="G115" s="520">
        <f>IF($D$103=1,3000,IF($D$103=2,3500,IF($D$103=3,4000,IF($D$103=4,4500,IF($D$103=5,5000,IF($D$103=6,5500))))))</f>
        <v>4500</v>
      </c>
      <c r="H115" s="520">
        <f>IF(H110=4,G115,0)</f>
        <v>0</v>
      </c>
      <c r="J115" s="520">
        <f>IF($D$103=1,3000,IF($D$103=2,3500,IF($D$103=3,4000,IF($D$103=4,4500,IF($D$103=5,5000,IF($D$103=6,5500))))))</f>
        <v>4500</v>
      </c>
      <c r="K115" s="520">
        <f>IF(K110=4,J115,0)</f>
        <v>4500</v>
      </c>
    </row>
    <row r="116" spans="2:11" ht="15">
      <c r="B116" s="3" t="s">
        <v>353</v>
      </c>
      <c r="G116" s="520">
        <f>G113+G114</f>
        <v>9357.142857142857</v>
      </c>
      <c r="H116" s="520">
        <f>IF(H110=5,G116,0)</f>
        <v>0</v>
      </c>
      <c r="J116" s="520">
        <f>J113+J114</f>
        <v>9357.142857142857</v>
      </c>
      <c r="K116" s="520">
        <f>IF(K110=5,J116,0)</f>
        <v>0</v>
      </c>
    </row>
    <row r="117" spans="2:11" ht="15">
      <c r="B117" s="3" t="s">
        <v>354</v>
      </c>
      <c r="G117" s="520">
        <f>G113+G115</f>
        <v>11357.142857142857</v>
      </c>
      <c r="H117" s="520">
        <f>IF(H110=6,G117,0)</f>
        <v>0</v>
      </c>
      <c r="J117" s="520">
        <f>J113+J115</f>
        <v>11357.142857142857</v>
      </c>
      <c r="K117" s="520">
        <f>IF(K110=6,J117,0)</f>
        <v>0</v>
      </c>
    </row>
    <row r="118" spans="2:11" ht="15">
      <c r="B118" s="3" t="s">
        <v>335</v>
      </c>
      <c r="D118" s="520"/>
      <c r="E118" s="520"/>
      <c r="F118" s="520"/>
      <c r="G118" s="520">
        <f>$D$92*H112</f>
        <v>879.1208791208792</v>
      </c>
      <c r="H118" s="520">
        <f>IF(H111=3,G118,0)</f>
        <v>0</v>
      </c>
      <c r="J118" s="520">
        <f>$D$92*K112</f>
        <v>879.1208791208792</v>
      </c>
      <c r="K118" s="520">
        <f>IF(K111=3,J118,0)</f>
        <v>0</v>
      </c>
    </row>
    <row r="119" spans="3:11" ht="15">
      <c r="C119" s="267"/>
      <c r="D119" s="526" t="s">
        <v>364</v>
      </c>
      <c r="E119" s="326"/>
      <c r="F119" s="326"/>
      <c r="G119" s="267"/>
      <c r="H119" s="326">
        <f>SUM(H113:H118)+Simulatore!$Y$25</f>
        <v>2500</v>
      </c>
      <c r="J119" s="267"/>
      <c r="K119" s="326">
        <f>SUM(K113:K118)+Simulatore!$Y$25</f>
        <v>4500</v>
      </c>
    </row>
    <row r="120" spans="2:11" ht="15">
      <c r="B120" s="3" t="s">
        <v>341</v>
      </c>
      <c r="C120" s="267"/>
      <c r="D120" s="326"/>
      <c r="E120" s="326"/>
      <c r="F120" s="326"/>
      <c r="G120" s="520">
        <f>G112/$E$95-$C$97</f>
        <v>6232.967032967033</v>
      </c>
      <c r="H120" s="520">
        <f>IF(H110=2,G120,0)</f>
        <v>0</v>
      </c>
      <c r="J120" s="520">
        <f>J112/$E$95-$C$97</f>
        <v>6232.967032967033</v>
      </c>
      <c r="K120" s="520">
        <f>IF(K110=2,J120,0)</f>
        <v>0</v>
      </c>
    </row>
    <row r="121" spans="2:11" ht="15">
      <c r="B121" s="3" t="s">
        <v>340</v>
      </c>
      <c r="C121" s="267"/>
      <c r="D121" s="326"/>
      <c r="E121" s="326"/>
      <c r="F121" s="326"/>
      <c r="G121" s="520">
        <f>$C$97</f>
        <v>800</v>
      </c>
      <c r="H121" s="520">
        <f>IF(H110=3,G121,0)</f>
        <v>800</v>
      </c>
      <c r="J121" s="520">
        <f>$C$97</f>
        <v>800</v>
      </c>
      <c r="K121" s="520">
        <f>IF(K110=3,J121,0)</f>
        <v>0</v>
      </c>
    </row>
    <row r="122" spans="2:11" ht="15">
      <c r="B122" s="3" t="s">
        <v>355</v>
      </c>
      <c r="G122" s="520">
        <f>-$C$97*0.7</f>
        <v>-560</v>
      </c>
      <c r="H122" s="520"/>
      <c r="J122" s="520">
        <f>-$C$97*0.7</f>
        <v>-560</v>
      </c>
      <c r="K122" s="520"/>
    </row>
    <row r="123" spans="2:13" ht="15">
      <c r="B123" s="3" t="s">
        <v>356</v>
      </c>
      <c r="G123" s="520">
        <f>G120+G121</f>
        <v>7032.967032967033</v>
      </c>
      <c r="H123" s="520">
        <f>IF(H110=5,G123,0)</f>
        <v>0</v>
      </c>
      <c r="J123" s="520">
        <f>J120+J121</f>
        <v>7032.967032967033</v>
      </c>
      <c r="K123" s="520">
        <f>IF(K110=5,J123,0)</f>
        <v>0</v>
      </c>
      <c r="L123" s="520"/>
      <c r="M123" s="520"/>
    </row>
    <row r="124" spans="2:13" ht="15">
      <c r="B124" s="3" t="s">
        <v>357</v>
      </c>
      <c r="G124" s="520">
        <f>G123+G122</f>
        <v>6472.967032967033</v>
      </c>
      <c r="H124" s="520">
        <f>IF(H110=6,G124,0)</f>
        <v>0</v>
      </c>
      <c r="I124" s="326"/>
      <c r="J124" s="520">
        <f>J123+J122</f>
        <v>6472.967032967033</v>
      </c>
      <c r="K124" s="520">
        <f>IF(K110=6,J124,0)</f>
        <v>0</v>
      </c>
      <c r="L124" s="520"/>
      <c r="M124" s="520"/>
    </row>
    <row r="125" spans="2:11" ht="15">
      <c r="B125" s="3" t="s">
        <v>342</v>
      </c>
      <c r="C125" s="267"/>
      <c r="D125" s="326"/>
      <c r="E125" s="326"/>
      <c r="F125" s="326"/>
      <c r="G125" s="520">
        <f>H108*$E$92</f>
        <v>627.9434850863423</v>
      </c>
      <c r="H125" s="520">
        <f>IF(H111=3,G125,0)</f>
        <v>0</v>
      </c>
      <c r="J125" s="520">
        <f>K108*$E$92</f>
        <v>627.9434850863423</v>
      </c>
      <c r="K125" s="520">
        <f>IF(K111=3,J125,0)</f>
        <v>0</v>
      </c>
    </row>
    <row r="126" spans="4:11" ht="15">
      <c r="D126" s="526" t="s">
        <v>358</v>
      </c>
      <c r="E126" s="521"/>
      <c r="H126" s="326">
        <f>SUM(H120:H125)</f>
        <v>800</v>
      </c>
      <c r="I126" s="326"/>
      <c r="K126" s="326">
        <f>SUM(K120:K125)</f>
        <v>0</v>
      </c>
    </row>
    <row r="127" spans="2:11" ht="15">
      <c r="B127" s="3" t="s">
        <v>359</v>
      </c>
      <c r="E127" s="521">
        <v>0.1</v>
      </c>
      <c r="G127" s="520">
        <f>G120*$E$127</f>
        <v>623.2967032967034</v>
      </c>
      <c r="H127" s="520">
        <f>IF(H110=2,G127,0)</f>
        <v>0</v>
      </c>
      <c r="J127" s="520">
        <f>J120*$E$127</f>
        <v>623.2967032967034</v>
      </c>
      <c r="K127" s="520">
        <f>IF(K110=2,J127,0)</f>
        <v>0</v>
      </c>
    </row>
    <row r="128" spans="2:11" ht="15">
      <c r="B128" s="3" t="s">
        <v>360</v>
      </c>
      <c r="C128" s="267"/>
      <c r="E128" s="521">
        <v>0.8</v>
      </c>
      <c r="G128" s="520">
        <f>G121*$E$128</f>
        <v>640</v>
      </c>
      <c r="H128" s="520">
        <f>IF(H110=3,G128,0)</f>
        <v>640</v>
      </c>
      <c r="J128" s="520">
        <f>J121*$E$128</f>
        <v>640</v>
      </c>
      <c r="K128" s="520">
        <f>IF(K110=3,J128,0)</f>
        <v>0</v>
      </c>
    </row>
    <row r="129" spans="2:11" ht="15">
      <c r="B129" s="3" t="s">
        <v>361</v>
      </c>
      <c r="E129" s="521"/>
      <c r="G129" s="520">
        <f>G128+G127</f>
        <v>1263.2967032967035</v>
      </c>
      <c r="H129" s="520">
        <f>IF(H110=5,G129,0)</f>
        <v>0</v>
      </c>
      <c r="J129" s="520">
        <f>J128+J127</f>
        <v>1263.2967032967035</v>
      </c>
      <c r="K129" s="520">
        <f>IF(K110=5,J129,0)</f>
        <v>0</v>
      </c>
    </row>
    <row r="130" spans="2:11" ht="15">
      <c r="B130" s="3" t="s">
        <v>362</v>
      </c>
      <c r="E130" s="521"/>
      <c r="G130" s="520">
        <f>G128</f>
        <v>640</v>
      </c>
      <c r="H130" s="520">
        <f>IF(H112=6,G130,0)</f>
        <v>0</v>
      </c>
      <c r="J130" s="520">
        <f>J128</f>
        <v>640</v>
      </c>
      <c r="K130" s="520">
        <f>IF(K112=6,J130,0)</f>
        <v>0</v>
      </c>
    </row>
    <row r="131" spans="2:11" ht="15">
      <c r="B131" s="3" t="s">
        <v>363</v>
      </c>
      <c r="E131" s="521">
        <v>0.8</v>
      </c>
      <c r="G131" s="520">
        <f>G125*$E$131</f>
        <v>502.3547880690739</v>
      </c>
      <c r="H131" s="520">
        <f>IF(H111=3,G131,0)</f>
        <v>0</v>
      </c>
      <c r="J131" s="520">
        <f>J125*$E$131</f>
        <v>502.3547880690739</v>
      </c>
      <c r="K131" s="520">
        <f>IF(K111=3,J131,0)</f>
        <v>0</v>
      </c>
    </row>
    <row r="132" spans="4:11" ht="15">
      <c r="D132" s="526" t="s">
        <v>447</v>
      </c>
      <c r="H132" s="326">
        <f>SUM(H127:H131)</f>
        <v>640</v>
      </c>
      <c r="K132" s="326">
        <f>SUM(K127:K131)</f>
        <v>0</v>
      </c>
    </row>
    <row r="133" spans="4:11" ht="15">
      <c r="D133" s="526" t="s">
        <v>365</v>
      </c>
      <c r="H133" s="326">
        <f>H126-H132</f>
        <v>160</v>
      </c>
      <c r="K133" s="326">
        <f>K126-K132</f>
        <v>0</v>
      </c>
    </row>
    <row r="134" spans="4:11" ht="15">
      <c r="D134" s="526"/>
      <c r="H134" s="326"/>
      <c r="K134" s="326"/>
    </row>
    <row r="135" spans="2:11" ht="15">
      <c r="B135" s="3" t="s">
        <v>444</v>
      </c>
      <c r="G135" s="525" t="str">
        <f>Simulatore!C102</f>
        <v>ACS</v>
      </c>
      <c r="H135" s="356">
        <f>Simulatore!A102</f>
        <v>3</v>
      </c>
      <c r="J135" s="526" t="str">
        <f>Simulatore!C113</f>
        <v>ST</v>
      </c>
      <c r="K135" s="326">
        <f>Simulatore!A113</f>
        <v>4</v>
      </c>
    </row>
    <row r="136" spans="2:11" ht="15">
      <c r="B136" s="3" t="s">
        <v>406</v>
      </c>
      <c r="D136" s="526"/>
      <c r="E136" s="357">
        <v>2</v>
      </c>
      <c r="G136" s="520">
        <f>($C$98*G20)-G137-G141-G142-G143</f>
        <v>25032</v>
      </c>
      <c r="H136" s="326">
        <f>IF(H135=$E$136,G136,0)</f>
        <v>0</v>
      </c>
      <c r="J136" s="520">
        <f>($C$98*J20)-J137-J141-J142-J143</f>
        <v>25032</v>
      </c>
      <c r="K136" s="326">
        <f>IF(K135=$E$136,J136,0)</f>
        <v>0</v>
      </c>
    </row>
    <row r="137" spans="2:11" ht="15">
      <c r="B137" s="3" t="s">
        <v>407</v>
      </c>
      <c r="D137" s="526"/>
      <c r="E137" s="357">
        <v>3</v>
      </c>
      <c r="G137" s="520">
        <f>$D$103*$E$104*G55*G20</f>
        <v>4368</v>
      </c>
      <c r="H137" s="326">
        <f>IF(H135=$E$137,G137,0)</f>
        <v>4368</v>
      </c>
      <c r="J137" s="520">
        <f>$D$103*$E$104*J55*J20</f>
        <v>4368</v>
      </c>
      <c r="K137" s="326">
        <f>IF(K135=$E$137,J137,0)</f>
        <v>0</v>
      </c>
    </row>
    <row r="138" spans="2:11" ht="15">
      <c r="B138" s="3" t="s">
        <v>467</v>
      </c>
      <c r="D138" s="526"/>
      <c r="E138" s="357">
        <v>4</v>
      </c>
      <c r="G138" s="520">
        <f>G137*0.7</f>
        <v>3057.6</v>
      </c>
      <c r="H138" s="326">
        <f>IF(H135=$E$138,G138,0)</f>
        <v>0</v>
      </c>
      <c r="J138" s="520">
        <f>J137*0.7</f>
        <v>3057.6</v>
      </c>
      <c r="K138" s="326">
        <f>IF(K135=$E$138,J138,0)</f>
        <v>3057.6</v>
      </c>
    </row>
    <row r="139" spans="2:11" ht="15">
      <c r="B139" s="3" t="s">
        <v>408</v>
      </c>
      <c r="D139" s="526"/>
      <c r="E139" s="358">
        <v>5</v>
      </c>
      <c r="G139" s="520">
        <f>G136+G137</f>
        <v>29400</v>
      </c>
      <c r="H139" s="326">
        <f>IF(H135=$E$139,G139,0)</f>
        <v>0</v>
      </c>
      <c r="J139" s="520">
        <f>J136+J137</f>
        <v>29400</v>
      </c>
      <c r="K139" s="326">
        <f>IF(K135=$E$139,J139,0)</f>
        <v>0</v>
      </c>
    </row>
    <row r="140" spans="2:11" ht="15">
      <c r="B140" s="3" t="s">
        <v>409</v>
      </c>
      <c r="D140" s="526"/>
      <c r="E140" s="358">
        <v>6</v>
      </c>
      <c r="G140" s="520">
        <f>G139</f>
        <v>29400</v>
      </c>
      <c r="H140" s="326">
        <f>IF(H135=$E$140,G140,0)</f>
        <v>0</v>
      </c>
      <c r="J140" s="520">
        <f>J139</f>
        <v>29400</v>
      </c>
      <c r="K140" s="326">
        <f>IF(K135=$E$140,J140,0)</f>
        <v>0</v>
      </c>
    </row>
    <row r="141" spans="2:11" ht="15">
      <c r="B141" s="3" t="s">
        <v>411</v>
      </c>
      <c r="D141" s="526"/>
      <c r="E141" s="3">
        <v>3</v>
      </c>
      <c r="G141" s="520">
        <f>IF(H147=2,G152,0)</f>
        <v>0</v>
      </c>
      <c r="H141" s="326">
        <f>IF(Simulatore!E21=0,0,G141)</f>
        <v>0</v>
      </c>
      <c r="J141" s="520">
        <f>IF(K147=2,J152,0)</f>
        <v>0</v>
      </c>
      <c r="K141" s="326">
        <f>IF(Simulatore!G21=0,0,J141)</f>
        <v>0</v>
      </c>
    </row>
    <row r="142" spans="2:11" ht="15">
      <c r="B142" s="3" t="s">
        <v>410</v>
      </c>
      <c r="D142" s="526"/>
      <c r="E142" s="3">
        <v>2</v>
      </c>
      <c r="G142" s="520">
        <f>C100*G20</f>
        <v>2000</v>
      </c>
      <c r="H142" s="326">
        <f>IF(Simulatore!$A$62=$E$142,G142,0)</f>
        <v>0</v>
      </c>
      <c r="J142" s="520">
        <f>C100*J20</f>
        <v>2000</v>
      </c>
      <c r="K142" s="326">
        <f>IF(Simulatore!$A$61=$E$142,J142,0)</f>
        <v>0</v>
      </c>
    </row>
    <row r="143" spans="2:11" ht="15">
      <c r="B143" s="3" t="s">
        <v>695</v>
      </c>
      <c r="D143" s="526"/>
      <c r="E143" s="281"/>
      <c r="G143" s="520">
        <f>C101*G20</f>
        <v>600</v>
      </c>
      <c r="H143" s="326">
        <f>IF(H135&gt;=5,G143,0)</f>
        <v>0</v>
      </c>
      <c r="J143" s="520">
        <f>C101*J20</f>
        <v>600</v>
      </c>
      <c r="K143" s="326">
        <f>IF(K135&gt;=5,J143,0)</f>
        <v>0</v>
      </c>
    </row>
    <row r="144" spans="4:11" ht="15">
      <c r="D144" s="526"/>
      <c r="E144" s="281"/>
      <c r="G144" s="520"/>
      <c r="H144" s="326"/>
      <c r="J144" s="520"/>
      <c r="K144" s="326"/>
    </row>
    <row r="145" spans="5:11" ht="18.75">
      <c r="E145" s="339" t="s">
        <v>412</v>
      </c>
      <c r="G145" s="520">
        <f>SUM(H136:H143)</f>
        <v>4368</v>
      </c>
      <c r="H145" s="340">
        <f>IF(Simulatore!$H$10=0,0,G145)</f>
        <v>4368</v>
      </c>
      <c r="J145" s="520">
        <f>SUM(K136:K143)</f>
        <v>3057.6</v>
      </c>
      <c r="K145" s="340">
        <f>IF(Simulatore!$H$10=0,0,J145)</f>
        <v>3057.6</v>
      </c>
    </row>
    <row r="146" spans="5:11" ht="18.75">
      <c r="E146" s="339"/>
      <c r="H146" s="340"/>
      <c r="K146" s="340"/>
    </row>
    <row r="147" spans="4:16" ht="15.75">
      <c r="D147" s="520"/>
      <c r="E147" s="344" t="s">
        <v>148</v>
      </c>
      <c r="F147" s="520"/>
      <c r="G147" s="517" t="str">
        <f>Simulatore!AU26</f>
        <v>no</v>
      </c>
      <c r="H147" s="517">
        <f>Simulatore!AS26</f>
        <v>1</v>
      </c>
      <c r="J147" s="517" t="str">
        <f>Simulatore!AU23</f>
        <v>no</v>
      </c>
      <c r="K147" s="517">
        <f>Simulatore!AS23</f>
        <v>1</v>
      </c>
      <c r="P147" s="520"/>
    </row>
    <row r="148" spans="2:16" ht="15">
      <c r="B148" s="267" t="s">
        <v>168</v>
      </c>
      <c r="C148" s="267"/>
      <c r="D148" s="326"/>
      <c r="E148" s="326"/>
      <c r="F148" s="326"/>
      <c r="G148" s="326"/>
      <c r="H148" s="326">
        <f>Simulatore!AT28</f>
        <v>0</v>
      </c>
      <c r="J148" s="326"/>
      <c r="K148" s="326">
        <f>Simulatore!AT25</f>
        <v>0</v>
      </c>
      <c r="M148" s="520"/>
      <c r="N148" s="520"/>
      <c r="O148" s="520"/>
      <c r="P148" s="520"/>
    </row>
    <row r="149" spans="2:11" ht="15">
      <c r="B149" s="3" t="s">
        <v>367</v>
      </c>
      <c r="D149" s="520"/>
      <c r="E149" s="520"/>
      <c r="F149" s="520"/>
      <c r="G149" s="520">
        <f>$C$94-G108</f>
        <v>0</v>
      </c>
      <c r="H149" s="520"/>
      <c r="J149" s="520">
        <f>$C$94-J108</f>
        <v>0</v>
      </c>
      <c r="K149" s="520"/>
    </row>
    <row r="150" spans="2:10" ht="15">
      <c r="B150" s="3" t="s">
        <v>368</v>
      </c>
      <c r="D150" s="520"/>
      <c r="E150" s="520"/>
      <c r="G150" s="520">
        <f>G149*$C$102</f>
        <v>0</v>
      </c>
      <c r="J150" s="520">
        <f>J149*$C$102</f>
        <v>0</v>
      </c>
    </row>
    <row r="151" spans="2:11" ht="15">
      <c r="B151" s="3" t="s">
        <v>369</v>
      </c>
      <c r="D151" s="520"/>
      <c r="E151" s="520"/>
      <c r="G151" s="520">
        <f>G20*G150</f>
        <v>0</v>
      </c>
      <c r="H151" s="520"/>
      <c r="J151" s="520">
        <f>J20*J150</f>
        <v>0</v>
      </c>
      <c r="K151" s="520"/>
    </row>
    <row r="152" spans="2:10" ht="15">
      <c r="B152" s="267" t="s">
        <v>370</v>
      </c>
      <c r="C152" s="267"/>
      <c r="D152" s="326"/>
      <c r="E152" s="326"/>
      <c r="F152" s="267"/>
      <c r="G152" s="326">
        <f>G151*G55</f>
        <v>0</v>
      </c>
      <c r="J152" s="326">
        <f>J151*J55</f>
        <v>0</v>
      </c>
    </row>
    <row r="153" spans="7:17" ht="15">
      <c r="G153" s="520"/>
      <c r="H153" s="520"/>
      <c r="I153" s="267"/>
      <c r="J153" s="520"/>
      <c r="K153" s="520"/>
      <c r="O153" s="514"/>
      <c r="P153" s="662"/>
      <c r="Q153" s="662"/>
    </row>
    <row r="154" spans="5:16" ht="15.75">
      <c r="E154" s="344" t="s">
        <v>377</v>
      </c>
      <c r="G154" s="514" t="str">
        <f>Simulatore!B62</f>
        <v>                   No</v>
      </c>
      <c r="H154" s="517">
        <f>Simulatore!A62</f>
        <v>1</v>
      </c>
      <c r="J154" s="514" t="str">
        <f>Simulatore!B61</f>
        <v>                   No</v>
      </c>
      <c r="K154" s="517">
        <f>Simulatore!A61</f>
        <v>1</v>
      </c>
      <c r="L154" s="514"/>
      <c r="O154" s="520"/>
      <c r="P154" s="514"/>
    </row>
    <row r="155" spans="2:11" ht="15">
      <c r="B155" s="3" t="s">
        <v>378</v>
      </c>
      <c r="F155" s="520"/>
      <c r="G155" s="520">
        <v>90</v>
      </c>
      <c r="H155" s="520">
        <f>IF(H154=2,G155,0)</f>
        <v>0</v>
      </c>
      <c r="I155" s="520"/>
      <c r="J155" s="520">
        <v>90</v>
      </c>
      <c r="K155" s="520">
        <f>IF(K154=2,J155,0)</f>
        <v>0</v>
      </c>
    </row>
    <row r="156" spans="2:11" ht="15">
      <c r="B156" s="3" t="s">
        <v>379</v>
      </c>
      <c r="F156" s="520"/>
      <c r="G156" s="520"/>
      <c r="H156" s="520">
        <f>H155/$G$185</f>
        <v>0</v>
      </c>
      <c r="I156" s="520"/>
      <c r="J156" s="520"/>
      <c r="K156" s="520">
        <f>K155/$G$185</f>
        <v>0</v>
      </c>
    </row>
    <row r="157" spans="2:11" ht="15">
      <c r="B157" s="3" t="s">
        <v>380</v>
      </c>
      <c r="F157" s="520"/>
      <c r="G157" s="520"/>
      <c r="H157" s="520">
        <f>H156*G20</f>
        <v>0</v>
      </c>
      <c r="I157" s="520"/>
      <c r="J157" s="520"/>
      <c r="K157" s="520">
        <f>K156*J20</f>
        <v>0</v>
      </c>
    </row>
    <row r="158" spans="2:11" ht="15">
      <c r="B158" s="3" t="s">
        <v>381</v>
      </c>
      <c r="E158" s="521">
        <v>0.5</v>
      </c>
      <c r="F158" s="520"/>
      <c r="H158" s="326">
        <f>H157*$E$158</f>
        <v>0</v>
      </c>
      <c r="I158" s="520"/>
      <c r="K158" s="326">
        <f>K157*$E$158</f>
        <v>0</v>
      </c>
    </row>
    <row r="159" spans="2:11" ht="15">
      <c r="B159" s="3" t="s">
        <v>382</v>
      </c>
      <c r="E159" s="521"/>
      <c r="F159" s="520"/>
      <c r="H159" s="326">
        <f>H157-H158</f>
        <v>0</v>
      </c>
      <c r="I159" s="520"/>
      <c r="K159" s="326">
        <f>K157-K158</f>
        <v>0</v>
      </c>
    </row>
    <row r="160" spans="6:11" ht="15">
      <c r="F160" s="520"/>
      <c r="G160" s="521"/>
      <c r="H160" s="520"/>
      <c r="I160" s="520"/>
      <c r="J160" s="521"/>
      <c r="K160" s="520"/>
    </row>
    <row r="161" spans="5:11" ht="15">
      <c r="E161" s="526" t="s">
        <v>183</v>
      </c>
      <c r="F161" s="520"/>
      <c r="G161" s="329" t="str">
        <f>Simulatore!B70</f>
        <v>                  no</v>
      </c>
      <c r="H161" s="520">
        <f>Simulatore!A70</f>
        <v>1</v>
      </c>
      <c r="I161" s="520"/>
      <c r="J161" s="329" t="str">
        <f>Simulatore!B69</f>
        <v>                  no</v>
      </c>
      <c r="K161" s="520">
        <f>Simulatore!A69</f>
        <v>1</v>
      </c>
    </row>
    <row r="162" spans="2:17" ht="15">
      <c r="B162" s="3" t="s">
        <v>395</v>
      </c>
      <c r="F162" s="520"/>
      <c r="G162" s="520">
        <f>D!H11</f>
        <v>0</v>
      </c>
      <c r="H162" s="520"/>
      <c r="I162" s="520"/>
      <c r="J162" s="520">
        <f>D!K11</f>
        <v>0</v>
      </c>
      <c r="K162" s="520"/>
      <c r="O162" s="520"/>
      <c r="P162" s="517"/>
      <c r="Q162" s="520"/>
    </row>
    <row r="163" spans="2:14" ht="15">
      <c r="B163" s="3" t="s">
        <v>394</v>
      </c>
      <c r="E163" s="341">
        <f>D!G12</f>
        <v>0</v>
      </c>
      <c r="F163" s="520"/>
      <c r="G163" s="520">
        <f>G162*$E$163</f>
        <v>0</v>
      </c>
      <c r="H163" s="520">
        <f>IF(Simulatore!A70=1,0,G163)</f>
        <v>0</v>
      </c>
      <c r="I163" s="520"/>
      <c r="J163" s="520">
        <f>J162*$E$163</f>
        <v>0</v>
      </c>
      <c r="K163" s="520">
        <f>IF(Simulatore!A69=1,0,J163)</f>
        <v>0</v>
      </c>
      <c r="N163" s="517"/>
    </row>
    <row r="164" spans="2:17" ht="15">
      <c r="B164" s="3" t="s">
        <v>396</v>
      </c>
      <c r="F164" s="520"/>
      <c r="G164" s="520">
        <f>G162-G163</f>
        <v>0</v>
      </c>
      <c r="H164" s="520">
        <f>IF(Simulatore!A70=1,0,G164)</f>
        <v>0</v>
      </c>
      <c r="I164" s="520"/>
      <c r="J164" s="520">
        <f>J162-J163</f>
        <v>0</v>
      </c>
      <c r="K164" s="520">
        <f>IF(Simulatore!A69=1,0,J164)</f>
        <v>0</v>
      </c>
      <c r="N164" s="520"/>
      <c r="O164" s="520"/>
      <c r="P164" s="520"/>
      <c r="Q164" s="520"/>
    </row>
    <row r="165" spans="6:16" ht="15">
      <c r="F165" s="520"/>
      <c r="G165" s="520"/>
      <c r="H165" s="520"/>
      <c r="I165" s="520"/>
      <c r="J165" s="520"/>
      <c r="K165" s="520"/>
      <c r="M165" s="281"/>
      <c r="O165" s="514"/>
      <c r="P165" s="515"/>
    </row>
    <row r="166" spans="5:11" ht="15.75">
      <c r="E166" s="344" t="s">
        <v>266</v>
      </c>
      <c r="F166" s="520"/>
      <c r="G166" s="520" t="str">
        <f>Simulatore!BE30</f>
        <v>no</v>
      </c>
      <c r="H166" s="520">
        <f>Simulatore!BB30</f>
        <v>1</v>
      </c>
      <c r="I166" s="520"/>
      <c r="J166" s="520" t="str">
        <f>Simulatore!BE29</f>
        <v>no</v>
      </c>
      <c r="K166" s="520">
        <f>Simulatore!BB29</f>
        <v>1</v>
      </c>
    </row>
    <row r="167" spans="2:11" ht="15">
      <c r="B167" s="3" t="s">
        <v>64</v>
      </c>
      <c r="E167" s="341">
        <v>0.05</v>
      </c>
      <c r="G167" s="520">
        <f>G172*$E$167</f>
        <v>5280</v>
      </c>
      <c r="H167" s="326">
        <f>IF(H166=1,0,G167)</f>
        <v>0</v>
      </c>
      <c r="J167" s="520">
        <f>J172*$E$167</f>
        <v>5280</v>
      </c>
      <c r="K167" s="326">
        <f>IF(K166=1,0,J167)</f>
        <v>0</v>
      </c>
    </row>
    <row r="169" ht="15">
      <c r="E169" s="526" t="s">
        <v>383</v>
      </c>
    </row>
    <row r="170" spans="2:10" ht="15">
      <c r="B170" s="3" t="s">
        <v>388</v>
      </c>
      <c r="G170" s="520">
        <f>G13*G20</f>
        <v>70000</v>
      </c>
      <c r="J170" s="520">
        <f>J13*J20</f>
        <v>70000</v>
      </c>
    </row>
    <row r="171" spans="2:10" ht="15">
      <c r="B171" s="3" t="s">
        <v>464</v>
      </c>
      <c r="G171" s="520">
        <f>G170+(H132*G20)</f>
        <v>82800</v>
      </c>
      <c r="H171" s="281"/>
      <c r="J171" s="520">
        <f>J170+(K132*J20)</f>
        <v>70000</v>
      </c>
    </row>
    <row r="172" spans="2:10" ht="15">
      <c r="B172" s="3" t="s">
        <v>393</v>
      </c>
      <c r="G172" s="520">
        <f>G21</f>
        <v>105600</v>
      </c>
      <c r="J172" s="520">
        <f>J21</f>
        <v>105600</v>
      </c>
    </row>
    <row r="173" spans="2:14" ht="15">
      <c r="B173" s="267" t="s">
        <v>451</v>
      </c>
      <c r="C173" s="267"/>
      <c r="D173" s="267"/>
      <c r="E173" s="267">
        <v>1.02</v>
      </c>
      <c r="F173" s="267"/>
      <c r="H173" s="326">
        <f>H176/G20*20*$E$173</f>
        <v>69793.5</v>
      </c>
      <c r="K173" s="326">
        <f>K176/J20*20*$E$173</f>
        <v>82849.5</v>
      </c>
      <c r="N173" s="281"/>
    </row>
    <row r="174" spans="2:14" ht="15">
      <c r="B174" s="267" t="s">
        <v>452</v>
      </c>
      <c r="C174" s="267"/>
      <c r="D174" s="267"/>
      <c r="E174" s="267"/>
      <c r="F174" s="267"/>
      <c r="G174" s="281">
        <f>H176-H173</f>
        <v>-1368.5</v>
      </c>
      <c r="H174" s="326">
        <f>IF(G20&lt;=20,0,G174)</f>
        <v>0</v>
      </c>
      <c r="J174" s="281">
        <f>K176-K173</f>
        <v>-1624.5</v>
      </c>
      <c r="K174" s="326">
        <f>IF(J20&lt;=20,0,J174)</f>
        <v>0</v>
      </c>
      <c r="N174" s="281"/>
    </row>
    <row r="175" spans="7:14" ht="15">
      <c r="G175" s="520"/>
      <c r="J175" s="520"/>
      <c r="M175" s="281"/>
      <c r="N175" s="281"/>
    </row>
    <row r="176" spans="3:14" ht="18.75">
      <c r="C176" s="267"/>
      <c r="D176" s="337" t="s">
        <v>740</v>
      </c>
      <c r="E176" s="337"/>
      <c r="F176" s="337"/>
      <c r="H176" s="340">
        <f>G172-G207</f>
        <v>68425</v>
      </c>
      <c r="K176" s="340">
        <f>J172-J207</f>
        <v>81225</v>
      </c>
      <c r="N176" s="281"/>
    </row>
    <row r="178" spans="2:14" ht="15">
      <c r="B178" s="3" t="s">
        <v>392</v>
      </c>
      <c r="G178" s="520">
        <f>G13*G19*G20</f>
        <v>45625</v>
      </c>
      <c r="J178" s="520">
        <f>J13*J19*J20</f>
        <v>45625</v>
      </c>
      <c r="N178" s="281"/>
    </row>
    <row r="179" spans="2:11" ht="15">
      <c r="B179" s="3" t="s">
        <v>465</v>
      </c>
      <c r="G179" s="520">
        <f>IF(G6=0,G171,G178)</f>
        <v>45625</v>
      </c>
      <c r="H179" s="517"/>
      <c r="J179" s="520">
        <f>IF(J6=0,J171,J178)</f>
        <v>45625</v>
      </c>
      <c r="K179" s="517"/>
    </row>
    <row r="180" spans="2:11" ht="15">
      <c r="B180" s="3" t="s">
        <v>448</v>
      </c>
      <c r="G180" s="520">
        <f>H133*G20</f>
        <v>3200</v>
      </c>
      <c r="H180" s="517"/>
      <c r="J180" s="520">
        <f>K133*J20</f>
        <v>0</v>
      </c>
      <c r="K180" s="517"/>
    </row>
    <row r="181" spans="2:11" ht="15">
      <c r="B181" s="3" t="s">
        <v>390</v>
      </c>
      <c r="G181" s="520">
        <f>H159</f>
        <v>0</v>
      </c>
      <c r="H181" s="517"/>
      <c r="J181" s="520">
        <f>K159</f>
        <v>0</v>
      </c>
      <c r="K181" s="517"/>
    </row>
    <row r="182" spans="2:11" ht="15">
      <c r="B182" s="3" t="s">
        <v>397</v>
      </c>
      <c r="G182" s="520">
        <f>G164</f>
        <v>0</v>
      </c>
      <c r="H182" s="517"/>
      <c r="J182" s="520">
        <f>J164</f>
        <v>0</v>
      </c>
      <c r="K182" s="517"/>
    </row>
    <row r="183" spans="7:11" ht="15">
      <c r="G183" s="520"/>
      <c r="H183" s="517"/>
      <c r="J183" s="520"/>
      <c r="K183" s="517"/>
    </row>
    <row r="184" spans="5:13" ht="15">
      <c r="E184" s="526" t="s">
        <v>401</v>
      </c>
      <c r="G184" s="323">
        <f>G185</f>
        <v>0.22276310885714287</v>
      </c>
      <c r="H184" s="3" t="s">
        <v>402</v>
      </c>
      <c r="J184" s="359">
        <f>J185</f>
        <v>0.22276310885714287</v>
      </c>
      <c r="K184" s="3" t="s">
        <v>402</v>
      </c>
      <c r="M184" s="281"/>
    </row>
    <row r="185" spans="5:11" ht="15">
      <c r="E185" s="526" t="s">
        <v>401</v>
      </c>
      <c r="G185" s="323">
        <f>IF(G6=0,H186,G186)</f>
        <v>0.22276310885714287</v>
      </c>
      <c r="H185" s="3" t="s">
        <v>402</v>
      </c>
      <c r="J185" s="360">
        <f>IF(J6=0,K186,J186)</f>
        <v>0.22276310885714287</v>
      </c>
      <c r="K185" s="3" t="s">
        <v>402</v>
      </c>
    </row>
    <row r="186" spans="7:11" ht="15">
      <c r="G186" s="323">
        <f>H186</f>
        <v>0.22276310885714287</v>
      </c>
      <c r="H186" s="361">
        <f>E!U10</f>
        <v>0.22276310885714287</v>
      </c>
      <c r="J186" s="323">
        <f>K186</f>
        <v>0.22276310885714287</v>
      </c>
      <c r="K186" s="361">
        <f>E!U110</f>
        <v>0.22276310885714287</v>
      </c>
    </row>
    <row r="187" spans="7:11" ht="15">
      <c r="G187" s="520">
        <f>G180+G182</f>
        <v>3200</v>
      </c>
      <c r="H187" s="520">
        <f>IF(Simulatore!$C$12=0,0,H188)</f>
        <v>10876.408789950001</v>
      </c>
      <c r="J187" s="520">
        <f>J180+J182</f>
        <v>0</v>
      </c>
      <c r="K187" s="520">
        <f>IF(Simulatore!$C$12=0,0,K188)</f>
        <v>10163.566841607144</v>
      </c>
    </row>
    <row r="188" spans="7:11" ht="15">
      <c r="G188" s="520">
        <f>G179+G181-H167</f>
        <v>45625</v>
      </c>
      <c r="H188" s="520">
        <f>IF(G193=0,H193,H190)</f>
        <v>10876.408789950001</v>
      </c>
      <c r="J188" s="520">
        <f>J179+J181-K167</f>
        <v>45625</v>
      </c>
      <c r="K188" s="520">
        <f>IF(J193=0,K193,K190)</f>
        <v>10163.566841607144</v>
      </c>
    </row>
    <row r="189" spans="7:11" ht="15">
      <c r="G189" s="514" t="s">
        <v>488</v>
      </c>
      <c r="H189" s="311">
        <f>H190/G190</f>
        <v>0.22276310885714287</v>
      </c>
      <c r="J189" s="514" t="s">
        <v>488</v>
      </c>
      <c r="K189" s="311">
        <f>K190/J190</f>
        <v>0.22276310885714287</v>
      </c>
    </row>
    <row r="190" spans="4:11" ht="15">
      <c r="D190" s="526" t="s">
        <v>403</v>
      </c>
      <c r="G190" s="520">
        <f>G187+G188</f>
        <v>48825</v>
      </c>
      <c r="H190" s="520">
        <f>(G184*G187)+(G185*G188)-(H203*G186)</f>
        <v>10876.408789950001</v>
      </c>
      <c r="J190" s="520">
        <f>J187+J188</f>
        <v>45625</v>
      </c>
      <c r="K190" s="520">
        <f>(J184*J187)+(J185*J188)-(K203*J186)</f>
        <v>10163.566841607144</v>
      </c>
    </row>
    <row r="191" spans="4:11" ht="18.75">
      <c r="D191" s="339" t="s">
        <v>468</v>
      </c>
      <c r="G191" s="520">
        <f>(H126*G20*E!$U$10)</f>
        <v>3564.209741714286</v>
      </c>
      <c r="H191" s="340">
        <f>IF(G193=0,H193,H190)</f>
        <v>10876.408789950001</v>
      </c>
      <c r="J191" s="520">
        <f>(K126*J20*E!$U$10)</f>
        <v>0</v>
      </c>
      <c r="K191" s="340">
        <f>IF(J193=0,K193,K190)</f>
        <v>10163.566841607144</v>
      </c>
    </row>
    <row r="192" spans="4:11" ht="18.75">
      <c r="D192" s="339"/>
      <c r="G192" s="520"/>
      <c r="H192" s="340"/>
      <c r="J192" s="520"/>
      <c r="K192" s="340"/>
    </row>
    <row r="193" spans="2:11" ht="18.75">
      <c r="B193" s="3" t="s">
        <v>466</v>
      </c>
      <c r="D193" s="339"/>
      <c r="G193" s="520">
        <f>Simulatore!R8</f>
        <v>13590.643152676796</v>
      </c>
      <c r="H193" s="340">
        <f>E!W10*G20</f>
        <v>15593.41762</v>
      </c>
      <c r="J193" s="520">
        <f>Simulatore!U8</f>
        <v>15590.643152676796</v>
      </c>
      <c r="K193" s="340">
        <f>E!W10*J20</f>
        <v>15593.41762</v>
      </c>
    </row>
    <row r="194" spans="7:11" ht="15">
      <c r="G194" s="520">
        <f>G13*H18*G20</f>
        <v>24375</v>
      </c>
      <c r="H194" s="520">
        <f>G172*H18</f>
        <v>36771.42857142857</v>
      </c>
      <c r="J194" s="520">
        <f>J13*K18*J20</f>
        <v>24375</v>
      </c>
      <c r="K194" s="520">
        <f>J172*K18</f>
        <v>36771.42857142857</v>
      </c>
    </row>
    <row r="195" spans="2:11" ht="15">
      <c r="B195" s="3" t="s">
        <v>387</v>
      </c>
      <c r="G195" s="520">
        <f>IF(G6=0,0,G194)</f>
        <v>24375</v>
      </c>
      <c r="H195" s="520">
        <f>IF(H194&lt;G195,H194,G195)</f>
        <v>24375</v>
      </c>
      <c r="J195" s="520">
        <f>IF(J6=0,0,J194)</f>
        <v>24375</v>
      </c>
      <c r="K195" s="520">
        <f>IF(K194&lt;J195,K194,J195)</f>
        <v>24375</v>
      </c>
    </row>
    <row r="196" spans="2:11" ht="15">
      <c r="B196" s="3" t="s">
        <v>389</v>
      </c>
      <c r="G196" s="520">
        <f>H132*G20</f>
        <v>12800</v>
      </c>
      <c r="H196" s="520">
        <f>IF(G6=0,0,G196)</f>
        <v>12800</v>
      </c>
      <c r="J196" s="520">
        <f>K132*J20</f>
        <v>0</v>
      </c>
      <c r="K196" s="520">
        <f>IF(J6=0,0,J196)</f>
        <v>0</v>
      </c>
    </row>
    <row r="197" spans="2:11" ht="15">
      <c r="B197" s="3" t="s">
        <v>391</v>
      </c>
      <c r="G197" s="520">
        <f>H158</f>
        <v>0</v>
      </c>
      <c r="H197" s="520">
        <f>IF(G6=0,0,G197)</f>
        <v>0</v>
      </c>
      <c r="J197" s="520">
        <f>K158</f>
        <v>0</v>
      </c>
      <c r="K197" s="520">
        <f>IF(J6=0,0,J197)</f>
        <v>0</v>
      </c>
    </row>
    <row r="198" spans="2:11" ht="15">
      <c r="B198" s="3" t="s">
        <v>399</v>
      </c>
      <c r="G198" s="520">
        <f>G163</f>
        <v>0</v>
      </c>
      <c r="H198" s="520">
        <f>IF(G6=0,0,G198)</f>
        <v>0</v>
      </c>
      <c r="J198" s="520">
        <f>J163</f>
        <v>0</v>
      </c>
      <c r="K198" s="520">
        <f>IF(J6=0,0,J198)</f>
        <v>0</v>
      </c>
    </row>
    <row r="199" spans="2:13" ht="15">
      <c r="B199" s="3" t="s">
        <v>398</v>
      </c>
      <c r="G199" s="520">
        <f>IF(H166=3,H167,0)</f>
        <v>0</v>
      </c>
      <c r="H199" s="520">
        <f>IF(G6=0,0,G199)</f>
        <v>0</v>
      </c>
      <c r="J199" s="520">
        <f>IF(K166=3,K167,0)</f>
        <v>0</v>
      </c>
      <c r="K199" s="520">
        <f>IF(J6=0,0,J199)</f>
        <v>0</v>
      </c>
      <c r="M199" s="281"/>
    </row>
    <row r="200" spans="2:13" ht="15">
      <c r="B200" s="522" t="s">
        <v>404</v>
      </c>
      <c r="G200" s="520">
        <f>SUM(G196:G199)</f>
        <v>12800</v>
      </c>
      <c r="H200" s="520">
        <f>SUM(H195:H199)</f>
        <v>37175</v>
      </c>
      <c r="J200" s="520">
        <f>SUM(J195:J199)</f>
        <v>24375</v>
      </c>
      <c r="K200" s="520">
        <f>SUM(K195:K199)</f>
        <v>24375</v>
      </c>
      <c r="M200" s="281"/>
    </row>
    <row r="201" spans="2:13" ht="15">
      <c r="B201" s="522"/>
      <c r="G201" s="327">
        <f>(FLOOR(H207,0.1))*100</f>
        <v>30.000000000000004</v>
      </c>
      <c r="H201" s="362">
        <f>H200/G172*100</f>
        <v>35.203598484848484</v>
      </c>
      <c r="J201" s="327">
        <f>(FLOOR(K207,0.1))*100</f>
        <v>20</v>
      </c>
      <c r="K201" s="362">
        <f>K200/J172*100</f>
        <v>23.082386363636363</v>
      </c>
      <c r="M201" s="281"/>
    </row>
    <row r="202" spans="2:13" ht="15">
      <c r="B202" s="3" t="s">
        <v>400</v>
      </c>
      <c r="C202" s="3" t="s">
        <v>651</v>
      </c>
      <c r="D202" s="341">
        <v>0.8</v>
      </c>
      <c r="G202" s="520">
        <f>G172*$D$202</f>
        <v>84480</v>
      </c>
      <c r="H202" s="517">
        <f>FLOOR(H201,1)</f>
        <v>35</v>
      </c>
      <c r="J202" s="520">
        <f>J172*$D$202</f>
        <v>84480</v>
      </c>
      <c r="K202" s="517">
        <f>FLOOR(K201,1)</f>
        <v>23</v>
      </c>
      <c r="M202" s="281"/>
    </row>
    <row r="203" spans="7:11" ht="15">
      <c r="G203" s="520">
        <f>IF(H209=1,0,H205)</f>
        <v>0</v>
      </c>
      <c r="H203" s="520">
        <f>IF(G6=0,0,G203)</f>
        <v>0</v>
      </c>
      <c r="J203" s="520">
        <f>IF(K209=1,0,K205)</f>
        <v>0</v>
      </c>
      <c r="K203" s="520">
        <f>IF(J6=0,0,J203)</f>
        <v>0</v>
      </c>
    </row>
    <row r="204" spans="2:16" ht="15">
      <c r="B204" s="3" t="s">
        <v>652</v>
      </c>
      <c r="C204" s="341"/>
      <c r="G204" s="520">
        <f>G188*$D$202</f>
        <v>36500</v>
      </c>
      <c r="H204" s="520">
        <f>G202-H200</f>
        <v>47305</v>
      </c>
      <c r="J204" s="520">
        <f>J188*$D$202</f>
        <v>36500</v>
      </c>
      <c r="K204" s="520">
        <f>J202-K200</f>
        <v>60105</v>
      </c>
      <c r="M204" s="3">
        <f>K173/20</f>
        <v>4142.475</v>
      </c>
      <c r="N204" s="3">
        <f>J218</f>
        <v>0.216</v>
      </c>
      <c r="P204" s="3">
        <f>M204*N204</f>
        <v>894.7746000000001</v>
      </c>
    </row>
    <row r="205" spans="2:16" ht="15">
      <c r="B205" s="267" t="s">
        <v>453</v>
      </c>
      <c r="C205" s="332"/>
      <c r="D205" s="326"/>
      <c r="E205" s="326"/>
      <c r="F205" s="267"/>
      <c r="G205" s="326">
        <f>G207/G20*20*$E$173</f>
        <v>37918.5</v>
      </c>
      <c r="H205" s="520">
        <f>IF(G204&lt;H204,G204,H204)</f>
        <v>36500</v>
      </c>
      <c r="J205" s="326">
        <f>J207/J20*20*$E$173</f>
        <v>24862.5</v>
      </c>
      <c r="K205" s="520">
        <f>IF(J204&lt;K204,J204,K204)</f>
        <v>36500</v>
      </c>
      <c r="M205" s="3">
        <f>J205/20</f>
        <v>1243.125</v>
      </c>
      <c r="N205" s="323">
        <f>J220</f>
        <v>0.134</v>
      </c>
      <c r="P205" s="3">
        <f>M205*N205</f>
        <v>166.57875</v>
      </c>
    </row>
    <row r="206" spans="2:16" ht="15">
      <c r="B206" s="267" t="s">
        <v>454</v>
      </c>
      <c r="C206" s="332"/>
      <c r="D206" s="326"/>
      <c r="E206" s="326"/>
      <c r="F206" s="267"/>
      <c r="G206" s="326">
        <f>IF(G20&lt;=20,0,H206)</f>
        <v>0</v>
      </c>
      <c r="H206" s="520">
        <f>G207-G205</f>
        <v>-743.5</v>
      </c>
      <c r="J206" s="326">
        <f>IF(J20&lt;=20,0,K206)</f>
        <v>0</v>
      </c>
      <c r="K206" s="520">
        <f>J207-J205</f>
        <v>-487.5</v>
      </c>
      <c r="M206" s="3">
        <f>M205+M204</f>
        <v>5385.6</v>
      </c>
      <c r="P206" s="3">
        <f>SUM(P204:P205)</f>
        <v>1061.35335</v>
      </c>
    </row>
    <row r="207" spans="2:16" ht="18.75">
      <c r="B207" s="363"/>
      <c r="C207" s="363"/>
      <c r="E207" s="339" t="s">
        <v>405</v>
      </c>
      <c r="F207" s="363"/>
      <c r="G207" s="340">
        <f>H200+G203</f>
        <v>37175</v>
      </c>
      <c r="H207" s="364">
        <f>G207/G172</f>
        <v>0.35203598484848486</v>
      </c>
      <c r="J207" s="340">
        <f>K200+J203</f>
        <v>24375</v>
      </c>
      <c r="K207" s="365">
        <f>J207/J172</f>
        <v>0.23082386363636365</v>
      </c>
      <c r="P207" s="3">
        <f>P206*20</f>
        <v>21227.067000000003</v>
      </c>
    </row>
    <row r="208" spans="7:11" ht="15">
      <c r="G208" s="517">
        <f>CEILING(H208,0.11)</f>
        <v>0.44</v>
      </c>
      <c r="H208" s="366">
        <f>G207/G172</f>
        <v>0.35203598484848486</v>
      </c>
      <c r="J208" s="517">
        <f>CEILING(K208,0.11)</f>
        <v>0.33</v>
      </c>
      <c r="K208" s="366">
        <f>J207/J172</f>
        <v>0.23082386363636365</v>
      </c>
    </row>
    <row r="209" spans="5:11" ht="15.75">
      <c r="E209" s="344" t="s">
        <v>150</v>
      </c>
      <c r="G209" s="517" t="str">
        <f>Simulatore!AT31</f>
        <v>                  no</v>
      </c>
      <c r="H209" s="517">
        <f>Simulatore!AS31</f>
        <v>1</v>
      </c>
      <c r="J209" s="517" t="str">
        <f>Simulatore!AT30</f>
        <v>                  no</v>
      </c>
      <c r="K209" s="517">
        <f>Simulatore!AS30</f>
        <v>1</v>
      </c>
    </row>
    <row r="210" spans="2:11" ht="15">
      <c r="B210" s="3" t="s">
        <v>449</v>
      </c>
      <c r="G210" s="524">
        <f>Simulatore!AV31</f>
        <v>0</v>
      </c>
      <c r="H210" s="311">
        <f>H205/G20</f>
        <v>1825</v>
      </c>
      <c r="J210" s="524">
        <f>Simulatore!AV30</f>
        <v>0</v>
      </c>
      <c r="K210" s="311">
        <f>K205/J20</f>
        <v>1825</v>
      </c>
    </row>
    <row r="211" spans="2:11" ht="15">
      <c r="B211" s="3" t="s">
        <v>650</v>
      </c>
      <c r="G211" s="524">
        <f>Simulatore!AW31</f>
        <v>0</v>
      </c>
      <c r="H211" s="311">
        <f>H210/200</f>
        <v>9.125</v>
      </c>
      <c r="J211" s="524">
        <f>Simulatore!AW30</f>
        <v>0</v>
      </c>
      <c r="K211" s="311">
        <f>K210/200</f>
        <v>9.125</v>
      </c>
    </row>
    <row r="212" spans="5:11" ht="18.75">
      <c r="E212" s="339" t="s">
        <v>450</v>
      </c>
      <c r="G212" s="520">
        <f>H205*G210</f>
        <v>0</v>
      </c>
      <c r="H212" s="340">
        <f>IF(H209=1,0,G212)</f>
        <v>0</v>
      </c>
      <c r="J212" s="520">
        <f>K205*J210</f>
        <v>0</v>
      </c>
      <c r="K212" s="340">
        <f>IF(K209=1,0,J212)</f>
        <v>0</v>
      </c>
    </row>
    <row r="213" spans="5:11" ht="18.75">
      <c r="E213" s="339" t="s">
        <v>777</v>
      </c>
      <c r="G213" s="520">
        <f>G211*H205</f>
        <v>0</v>
      </c>
      <c r="H213" s="340">
        <f>IF(H209=1,0,G213)</f>
        <v>0</v>
      </c>
      <c r="J213" s="520">
        <f>J211*K205</f>
        <v>0</v>
      </c>
      <c r="K213" s="340">
        <f>IF(K209=1,0,J213)</f>
        <v>0</v>
      </c>
    </row>
    <row r="214" spans="5:11" ht="18.75">
      <c r="E214" s="339"/>
      <c r="G214" s="520" t="s">
        <v>778</v>
      </c>
      <c r="H214" s="367">
        <f>CEILING(H211,0.1)</f>
        <v>9.200000000000001</v>
      </c>
      <c r="J214" s="345"/>
      <c r="K214" s="367">
        <f>CEILING(K211,0.1)</f>
        <v>9.200000000000001</v>
      </c>
    </row>
    <row r="215" spans="2:11" ht="15">
      <c r="B215" s="267"/>
      <c r="G215" s="267">
        <f>CEILING(H212,1)</f>
        <v>0</v>
      </c>
      <c r="H215" s="267">
        <f>G208*100</f>
        <v>44</v>
      </c>
      <c r="J215" s="267">
        <f>CEILING(K212,1)</f>
        <v>0</v>
      </c>
      <c r="K215" s="267">
        <f>J208*100</f>
        <v>33</v>
      </c>
    </row>
    <row r="216" spans="5:10" ht="15.75">
      <c r="E216" s="368" t="s">
        <v>66</v>
      </c>
      <c r="G216" s="267" t="s">
        <v>154</v>
      </c>
      <c r="J216" s="267" t="s">
        <v>154</v>
      </c>
    </row>
    <row r="217" spans="7:11" ht="15">
      <c r="G217" s="525" t="s">
        <v>68</v>
      </c>
      <c r="H217" s="517">
        <f>SUM(G221:G225)</f>
        <v>14</v>
      </c>
      <c r="J217" s="525" t="s">
        <v>68</v>
      </c>
      <c r="K217" s="517">
        <f>SUM(J221:J225)</f>
        <v>14</v>
      </c>
    </row>
    <row r="218" spans="2:11" ht="15">
      <c r="B218" s="525" t="s">
        <v>52</v>
      </c>
      <c r="C218" s="517" t="s">
        <v>54</v>
      </c>
      <c r="D218" s="517" t="s">
        <v>27</v>
      </c>
      <c r="G218" s="525">
        <f>IF(H217=15,G229,IF(H217=14,G230,IF(H217=12,G231,IF(H217=9,G232,IF(H217=5,G233)))))+H219</f>
        <v>0.216</v>
      </c>
      <c r="H218" s="517" t="s">
        <v>153</v>
      </c>
      <c r="J218" s="525">
        <f>IF(K217=15,J229,IF(K217=14,J230,IF(K217=12,J231,IF(K217=9,J232,IF(K217=5,J233)))))+K219</f>
        <v>0.216</v>
      </c>
      <c r="K218" s="517" t="s">
        <v>153</v>
      </c>
    </row>
    <row r="219" spans="2:11" ht="15">
      <c r="B219" s="525">
        <v>0.09</v>
      </c>
      <c r="C219" s="369">
        <f>H186-0.15</f>
        <v>0.07276310885714288</v>
      </c>
      <c r="D219" s="369">
        <f>B219+C219</f>
        <v>0.16276310885714287</v>
      </c>
      <c r="G219" s="525" t="s">
        <v>69</v>
      </c>
      <c r="H219" s="517">
        <v>0.02</v>
      </c>
      <c r="J219" s="525" t="s">
        <v>69</v>
      </c>
      <c r="K219" s="517">
        <v>0.02</v>
      </c>
    </row>
    <row r="220" spans="2:12" ht="15">
      <c r="B220" s="517" t="s">
        <v>156</v>
      </c>
      <c r="C220" s="517" t="s">
        <v>157</v>
      </c>
      <c r="D220" s="517" t="s">
        <v>158</v>
      </c>
      <c r="G220" s="370">
        <f>IF(H217=15,H229,IF(H217=14,H230,IF(H217=12,H231,IF(H217=9,H232,IF(H217=5,H233)))))+H219</f>
        <v>0.134</v>
      </c>
      <c r="H220" s="3" t="s">
        <v>50</v>
      </c>
      <c r="J220" s="370">
        <f>IF(K217=15,K229,IF(K217=14,K230,IF(K217=12,K231,IF(K217=9,K232,IF(K217=5,K233)))))+K219</f>
        <v>0.134</v>
      </c>
      <c r="K220" s="3" t="s">
        <v>50</v>
      </c>
      <c r="L220" s="517"/>
    </row>
    <row r="221" spans="2:11" ht="15">
      <c r="B221" s="520">
        <v>20</v>
      </c>
      <c r="C221" s="520">
        <v>10</v>
      </c>
      <c r="D221" s="520">
        <v>20</v>
      </c>
      <c r="G221" s="3">
        <f>IF(G6&lt;=3,1,0)</f>
        <v>0</v>
      </c>
      <c r="H221" s="3" t="s">
        <v>905</v>
      </c>
      <c r="J221" s="3">
        <f>IF(J6&lt;=3,1,0)</f>
        <v>0</v>
      </c>
      <c r="K221" s="3" t="s">
        <v>905</v>
      </c>
    </row>
    <row r="222" spans="7:11" ht="15">
      <c r="G222" s="3">
        <f>IF(G6&lt;=20,2,0)</f>
        <v>2</v>
      </c>
      <c r="H222" s="371" t="s">
        <v>3</v>
      </c>
      <c r="J222" s="3">
        <f>IF(J6&lt;=20,2,0)</f>
        <v>2</v>
      </c>
      <c r="K222" s="371" t="s">
        <v>3</v>
      </c>
    </row>
    <row r="223" spans="2:11" ht="15">
      <c r="B223" s="3" t="s">
        <v>205</v>
      </c>
      <c r="G223" s="3">
        <f>IF(G6&lt;=200,3,0)</f>
        <v>3</v>
      </c>
      <c r="H223" s="371" t="s">
        <v>4</v>
      </c>
      <c r="J223" s="3">
        <f>IF(J6&lt;=200,3,0)</f>
        <v>3</v>
      </c>
      <c r="K223" s="371" t="s">
        <v>4</v>
      </c>
    </row>
    <row r="224" spans="2:11" ht="15">
      <c r="B224" s="521">
        <v>0.55</v>
      </c>
      <c r="G224" s="3">
        <f>IF(G6&lt;=1000,4,0)</f>
        <v>4</v>
      </c>
      <c r="H224" s="371" t="s">
        <v>5</v>
      </c>
      <c r="J224" s="3">
        <f>IF(J6&lt;=1000,4,0)</f>
        <v>4</v>
      </c>
      <c r="K224" s="371" t="s">
        <v>5</v>
      </c>
    </row>
    <row r="225" spans="2:11" ht="15">
      <c r="B225" s="521">
        <v>0.36</v>
      </c>
      <c r="G225" s="3">
        <f>IF(G6&lt;=5000,5,0)</f>
        <v>5</v>
      </c>
      <c r="H225" s="3" t="s">
        <v>906</v>
      </c>
      <c r="J225" s="3">
        <f>IF(J6&lt;=5000,5,0)</f>
        <v>5</v>
      </c>
      <c r="K225" s="3" t="s">
        <v>906</v>
      </c>
    </row>
    <row r="226" spans="2:11" ht="15">
      <c r="B226" s="521">
        <v>0.5</v>
      </c>
      <c r="H226" s="371" t="s">
        <v>6</v>
      </c>
      <c r="K226" s="371" t="s">
        <v>6</v>
      </c>
    </row>
    <row r="227" spans="7:11" ht="15">
      <c r="G227" s="324" t="s">
        <v>62</v>
      </c>
      <c r="H227" s="324"/>
      <c r="J227" s="324" t="s">
        <v>62</v>
      </c>
      <c r="K227" s="324"/>
    </row>
    <row r="228" spans="7:11" ht="15">
      <c r="G228" s="325" t="s">
        <v>68</v>
      </c>
      <c r="H228" s="325" t="s">
        <v>69</v>
      </c>
      <c r="J228" s="325" t="s">
        <v>68</v>
      </c>
      <c r="K228" s="325" t="s">
        <v>69</v>
      </c>
    </row>
    <row r="229" spans="7:11" ht="15">
      <c r="G229" s="517">
        <v>0.208</v>
      </c>
      <c r="H229" s="517">
        <v>0.126</v>
      </c>
      <c r="J229" s="517">
        <v>0.208</v>
      </c>
      <c r="K229" s="517">
        <v>0.126</v>
      </c>
    </row>
    <row r="230" spans="7:11" ht="15">
      <c r="G230" s="517">
        <v>0.196</v>
      </c>
      <c r="H230" s="348">
        <v>0.114</v>
      </c>
      <c r="J230" s="517">
        <v>0.196</v>
      </c>
      <c r="K230" s="348">
        <v>0.114</v>
      </c>
    </row>
    <row r="231" spans="7:11" ht="15">
      <c r="G231" s="517">
        <v>0.175</v>
      </c>
      <c r="H231" s="517">
        <v>0.093</v>
      </c>
      <c r="J231" s="517">
        <v>0.175</v>
      </c>
      <c r="K231" s="517">
        <v>0.093</v>
      </c>
    </row>
    <row r="232" spans="7:11" ht="15">
      <c r="G232" s="517">
        <v>0.142</v>
      </c>
      <c r="H232" s="348">
        <v>0.06</v>
      </c>
      <c r="J232" s="517">
        <v>0.142</v>
      </c>
      <c r="K232" s="348">
        <v>0.06</v>
      </c>
    </row>
    <row r="233" spans="7:11" ht="15">
      <c r="G233" s="517">
        <v>0.126</v>
      </c>
      <c r="H233" s="517">
        <v>0.044</v>
      </c>
      <c r="J233" s="517">
        <v>0.126</v>
      </c>
      <c r="K233" s="517">
        <v>0.044</v>
      </c>
    </row>
    <row r="234" spans="7:11" ht="15">
      <c r="G234" s="517">
        <v>0.119</v>
      </c>
      <c r="H234" s="517">
        <v>0.037</v>
      </c>
      <c r="J234" s="517">
        <v>0.119</v>
      </c>
      <c r="K234" s="517">
        <v>0.037</v>
      </c>
    </row>
    <row r="235" spans="4:11" ht="15">
      <c r="D235" s="517"/>
      <c r="G235" s="324" t="s">
        <v>63</v>
      </c>
      <c r="H235" s="324"/>
      <c r="J235" s="324" t="s">
        <v>63</v>
      </c>
      <c r="K235" s="324"/>
    </row>
    <row r="236" spans="4:11" ht="15">
      <c r="D236" s="517"/>
      <c r="G236" s="325" t="s">
        <v>68</v>
      </c>
      <c r="H236" s="325" t="s">
        <v>69</v>
      </c>
      <c r="J236" s="325" t="s">
        <v>68</v>
      </c>
      <c r="K236" s="325" t="s">
        <v>69</v>
      </c>
    </row>
    <row r="237" spans="4:11" ht="15">
      <c r="D237" s="517"/>
      <c r="G237" s="348">
        <v>0.201</v>
      </c>
      <c r="H237" s="517">
        <v>0.119</v>
      </c>
      <c r="J237" s="348">
        <v>0.201</v>
      </c>
      <c r="K237" s="517">
        <v>0.119</v>
      </c>
    </row>
    <row r="238" spans="4:11" ht="15">
      <c r="D238" s="517"/>
      <c r="G238" s="517">
        <v>0.189</v>
      </c>
      <c r="H238" s="517">
        <v>0.107</v>
      </c>
      <c r="J238" s="517">
        <v>0.189</v>
      </c>
      <c r="K238" s="517">
        <v>0.107</v>
      </c>
    </row>
    <row r="239" spans="7:11" ht="15">
      <c r="G239" s="517">
        <v>0.168</v>
      </c>
      <c r="H239" s="517">
        <v>0.086</v>
      </c>
      <c r="J239" s="517">
        <v>0.168</v>
      </c>
      <c r="K239" s="517">
        <v>0.086</v>
      </c>
    </row>
    <row r="240" spans="7:11" ht="15">
      <c r="G240" s="517">
        <v>0.135</v>
      </c>
      <c r="H240" s="517">
        <v>0.053</v>
      </c>
      <c r="J240" s="517">
        <v>0.135</v>
      </c>
      <c r="K240" s="517">
        <v>0.053</v>
      </c>
    </row>
    <row r="241" spans="6:11" ht="15">
      <c r="F241" s="520"/>
      <c r="G241" s="517">
        <v>0.12</v>
      </c>
      <c r="H241" s="517">
        <v>0.038</v>
      </c>
      <c r="J241" s="517">
        <v>0.12</v>
      </c>
      <c r="K241" s="517">
        <v>0.038</v>
      </c>
    </row>
    <row r="242" spans="6:11" ht="15">
      <c r="F242" s="520"/>
      <c r="G242" s="517">
        <v>0.113</v>
      </c>
      <c r="H242" s="517">
        <v>0.031</v>
      </c>
      <c r="J242" s="517">
        <v>0.113</v>
      </c>
      <c r="K242" s="517">
        <v>0.031</v>
      </c>
    </row>
    <row r="243" ht="15">
      <c r="E243" s="521"/>
    </row>
    <row r="244" spans="7:10" ht="15">
      <c r="G244" s="267" t="s">
        <v>67</v>
      </c>
      <c r="J244" s="267" t="s">
        <v>67</v>
      </c>
    </row>
    <row r="245" spans="8:11" ht="15">
      <c r="H245" s="525" t="s">
        <v>69</v>
      </c>
      <c r="K245" s="525" t="s">
        <v>69</v>
      </c>
    </row>
    <row r="246" spans="2:11" ht="15">
      <c r="B246" s="520"/>
      <c r="C246" s="520"/>
      <c r="D246" s="520"/>
      <c r="G246" s="3">
        <f>IF(G6&lt;=20,1,0)</f>
        <v>1</v>
      </c>
      <c r="H246" s="525">
        <f>IF(H250=6,G252,IF(H250=5,G253,IF(H250=3,G254)))+H219</f>
        <v>0.206</v>
      </c>
      <c r="J246" s="3">
        <f>IF(J6&lt;=20,1,0)</f>
        <v>1</v>
      </c>
      <c r="K246" s="525">
        <f>IF(K250=6,J252,IF(K250=5,J253,IF(K250=3,J254)))+K219</f>
        <v>0.206</v>
      </c>
    </row>
    <row r="247" spans="2:10" ht="15">
      <c r="B247" s="520"/>
      <c r="C247" s="520"/>
      <c r="D247" s="520"/>
      <c r="G247" s="3">
        <f>IF(G6&lt;=200,2,0)</f>
        <v>2</v>
      </c>
      <c r="J247" s="3">
        <f>IF(J6&lt;=200,2,0)</f>
        <v>2</v>
      </c>
    </row>
    <row r="248" spans="2:11" ht="15">
      <c r="B248" s="520"/>
      <c r="C248" s="520"/>
      <c r="D248" s="520"/>
      <c r="G248" s="3">
        <v>3</v>
      </c>
      <c r="H248" s="525" t="s">
        <v>68</v>
      </c>
      <c r="J248" s="3">
        <v>3</v>
      </c>
      <c r="K248" s="525" t="s">
        <v>68</v>
      </c>
    </row>
    <row r="249" spans="2:11" ht="15">
      <c r="B249" s="520"/>
      <c r="C249" s="520"/>
      <c r="D249" s="520"/>
      <c r="G249" s="3" t="s">
        <v>907</v>
      </c>
      <c r="H249" s="525">
        <f>IF(H250=6,H252,IF(H250=5,H253,IF(H250=3,H254)))+H219</f>
        <v>0.308</v>
      </c>
      <c r="J249" s="3" t="s">
        <v>907</v>
      </c>
      <c r="K249" s="525">
        <f>IF(K250=6,K252,IF(K250=5,K253,IF(K250=3,K254)))+K219</f>
        <v>0.308</v>
      </c>
    </row>
    <row r="250" spans="2:11" ht="15">
      <c r="B250" s="520"/>
      <c r="C250" s="520"/>
      <c r="D250" s="520"/>
      <c r="G250" s="371" t="s">
        <v>4</v>
      </c>
      <c r="H250" s="517">
        <f>SUM(G246:G248)</f>
        <v>6</v>
      </c>
      <c r="J250" s="371" t="s">
        <v>4</v>
      </c>
      <c r="K250" s="517">
        <f>SUM(J246:J248)</f>
        <v>6</v>
      </c>
    </row>
    <row r="251" spans="2:10" ht="15">
      <c r="B251" s="520"/>
      <c r="C251" s="520"/>
      <c r="D251" s="520"/>
      <c r="G251" s="371" t="s">
        <v>65</v>
      </c>
      <c r="J251" s="371" t="s">
        <v>65</v>
      </c>
    </row>
    <row r="252" spans="2:11" ht="15">
      <c r="B252" s="520"/>
      <c r="C252" s="520"/>
      <c r="G252" s="517">
        <v>0.186</v>
      </c>
      <c r="H252" s="517">
        <v>0.288</v>
      </c>
      <c r="J252" s="517">
        <v>0.186</v>
      </c>
      <c r="K252" s="517">
        <v>0.288</v>
      </c>
    </row>
    <row r="253" spans="2:11" ht="15">
      <c r="B253" s="520"/>
      <c r="C253" s="520"/>
      <c r="G253" s="517">
        <v>0.174</v>
      </c>
      <c r="H253" s="517">
        <v>0.276</v>
      </c>
      <c r="J253" s="517">
        <v>0.174</v>
      </c>
      <c r="K253" s="517">
        <v>0.276</v>
      </c>
    </row>
    <row r="254" spans="2:11" ht="15">
      <c r="B254" s="520"/>
      <c r="C254" s="520"/>
      <c r="G254" s="517">
        <v>0.153</v>
      </c>
      <c r="H254" s="517">
        <v>0.255</v>
      </c>
      <c r="J254" s="517">
        <v>0.153</v>
      </c>
      <c r="K254" s="517">
        <v>0.255</v>
      </c>
    </row>
    <row r="255" spans="2:4" ht="15">
      <c r="B255" s="520"/>
      <c r="C255" s="520"/>
      <c r="D255" s="520"/>
    </row>
    <row r="256" ht="15">
      <c r="E256" s="267" t="s">
        <v>147</v>
      </c>
    </row>
    <row r="257" spans="2:10" ht="15">
      <c r="B257" s="3" t="s">
        <v>186</v>
      </c>
      <c r="G257" s="372">
        <f>Simulatore!R8</f>
        <v>13590.643152676796</v>
      </c>
      <c r="J257" s="372">
        <f>Simulatore!U8</f>
        <v>15590.643152676796</v>
      </c>
    </row>
    <row r="258" spans="2:17" ht="15">
      <c r="B258" s="3" t="s">
        <v>514</v>
      </c>
      <c r="G258" s="373">
        <f>Simulatore!R19</f>
        <v>15617.459203562787</v>
      </c>
      <c r="H258" s="517"/>
      <c r="J258" s="373">
        <f>Simulatore!U19</f>
        <v>16050.991477709438</v>
      </c>
      <c r="K258" s="517"/>
      <c r="N258" s="520"/>
      <c r="O258" s="341"/>
      <c r="Q258" s="517"/>
    </row>
    <row r="259" spans="2:11" ht="15">
      <c r="B259" s="3" t="s">
        <v>187</v>
      </c>
      <c r="G259" s="520">
        <f>G257+G258</f>
        <v>29208.102356239582</v>
      </c>
      <c r="H259" s="520"/>
      <c r="J259" s="520">
        <f>J257+J258</f>
        <v>31641.634630386234</v>
      </c>
      <c r="K259" s="520"/>
    </row>
    <row r="260" spans="2:16" ht="15">
      <c r="B260" s="3" t="s">
        <v>515</v>
      </c>
      <c r="G260" s="520">
        <f>Simulatore!E27</f>
        <v>12</v>
      </c>
      <c r="H260" s="374"/>
      <c r="J260" s="520">
        <f>Simulatore!G27</f>
        <v>12</v>
      </c>
      <c r="K260" s="374"/>
      <c r="M260" s="342"/>
      <c r="P260" s="524"/>
    </row>
    <row r="261" spans="2:11" ht="15">
      <c r="B261" s="3" t="s">
        <v>188</v>
      </c>
      <c r="G261" s="520">
        <f>G20</f>
        <v>20</v>
      </c>
      <c r="H261" s="517"/>
      <c r="J261" s="520">
        <f>J20</f>
        <v>20</v>
      </c>
      <c r="K261" s="517"/>
    </row>
    <row r="262" spans="2:14" ht="15">
      <c r="B262" s="3" t="s">
        <v>442</v>
      </c>
      <c r="G262" s="375">
        <f>Simulatore!E25</f>
        <v>1</v>
      </c>
      <c r="H262" s="375"/>
      <c r="J262" s="375">
        <f>Simulatore!G25</f>
        <v>1</v>
      </c>
      <c r="K262" s="375"/>
      <c r="M262" s="514"/>
      <c r="N262" s="514"/>
    </row>
    <row r="263" spans="2:15" ht="15">
      <c r="B263" s="376" t="s">
        <v>251</v>
      </c>
      <c r="G263" s="373">
        <f>G257*0.1</f>
        <v>1359.0643152676796</v>
      </c>
      <c r="H263" s="517"/>
      <c r="J263" s="373">
        <f>J257*0.1</f>
        <v>1559.0643152676796</v>
      </c>
      <c r="K263" s="517"/>
      <c r="O263" s="281"/>
    </row>
    <row r="264" spans="2:15" ht="15">
      <c r="B264" s="3" t="s">
        <v>253</v>
      </c>
      <c r="G264" s="372">
        <f>G257*(1-G262)</f>
        <v>0</v>
      </c>
      <c r="H264" s="517"/>
      <c r="J264" s="372">
        <f>J257*(1-J262)</f>
        <v>0</v>
      </c>
      <c r="K264" s="517"/>
      <c r="O264" s="520"/>
    </row>
    <row r="265" spans="2:15" ht="15">
      <c r="B265" s="3" t="s">
        <v>252</v>
      </c>
      <c r="G265" s="373">
        <f>IF(G262&gt;=90%,G263,G264)</f>
        <v>1359.0643152676796</v>
      </c>
      <c r="H265" s="517"/>
      <c r="J265" s="373">
        <f>IF(J262&gt;=90%,J263,J264)</f>
        <v>1559.0643152676796</v>
      </c>
      <c r="K265" s="517"/>
      <c r="O265" s="517"/>
    </row>
    <row r="266" spans="2:11" ht="15">
      <c r="B266" s="3" t="s">
        <v>489</v>
      </c>
      <c r="H266" s="517"/>
      <c r="K266" s="517"/>
    </row>
    <row r="267" spans="4:11" ht="18.75">
      <c r="D267" s="337"/>
      <c r="E267" s="339" t="s">
        <v>455</v>
      </c>
      <c r="G267" s="346">
        <f>IRR(H269:H295)</f>
        <v>1.0745661052477933</v>
      </c>
      <c r="H267" s="352">
        <f>IF(H271=0,0,G267)</f>
        <v>1.0745661052477933</v>
      </c>
      <c r="J267" s="346">
        <f>IRR(K269:K295)</f>
        <v>1.0147627738045728</v>
      </c>
      <c r="K267" s="352">
        <f>IF(K271=0,0,J267)</f>
        <v>1.0147627738045728</v>
      </c>
    </row>
    <row r="268" spans="4:11" ht="18.75">
      <c r="D268" s="337"/>
      <c r="E268" s="339" t="s">
        <v>188</v>
      </c>
      <c r="G268" s="345">
        <f>G257/H270</f>
        <v>9.30607746228573</v>
      </c>
      <c r="H268" s="377">
        <f>IF(H271=0,0,G268)</f>
        <v>9.30607746228573</v>
      </c>
      <c r="J268" s="345">
        <f>J257/K270</f>
        <v>9.854511838465337</v>
      </c>
      <c r="K268" s="377">
        <f>IF(K271=0,0,J268)</f>
        <v>9.854511838465337</v>
      </c>
    </row>
    <row r="269" spans="4:11" ht="18.75">
      <c r="D269" s="337"/>
      <c r="E269" s="339" t="s">
        <v>186</v>
      </c>
      <c r="G269" s="520">
        <f>IF(H270&lt;0,0,G270)</f>
        <v>1460.4051178119792</v>
      </c>
      <c r="H269" s="340">
        <f>-G265</f>
        <v>-1359.0643152676796</v>
      </c>
      <c r="J269" s="520">
        <f>IF(K270&lt;0,0,J270)</f>
        <v>1582.0817315193117</v>
      </c>
      <c r="K269" s="340">
        <f>-J265</f>
        <v>-1559.0643152676796</v>
      </c>
    </row>
    <row r="270" spans="2:11" ht="18.75">
      <c r="B270" s="517">
        <v>1</v>
      </c>
      <c r="D270" s="337"/>
      <c r="E270" s="339" t="s">
        <v>516</v>
      </c>
      <c r="G270" s="520">
        <f>G259/G261</f>
        <v>1460.4051178119792</v>
      </c>
      <c r="H270" s="340">
        <f>G259/G261</f>
        <v>1460.4051178119792</v>
      </c>
      <c r="J270" s="520">
        <f>J259/J261</f>
        <v>1582.0817315193117</v>
      </c>
      <c r="K270" s="340">
        <f>J259/J261</f>
        <v>1582.0817315193117</v>
      </c>
    </row>
    <row r="271" spans="2:11" ht="15">
      <c r="B271" s="517">
        <v>2</v>
      </c>
      <c r="G271" s="520"/>
      <c r="H271" s="520">
        <f>IF(B271&lt;=$G$20,$H$270,0)</f>
        <v>1460.4051178119792</v>
      </c>
      <c r="J271" s="520"/>
      <c r="K271" s="520">
        <f aca="true" t="shared" si="0" ref="K271:K295">IF(B271&lt;=$J$20,$K$270,0)</f>
        <v>1582.0817315193117</v>
      </c>
    </row>
    <row r="272" spans="2:11" ht="15">
      <c r="B272" s="517">
        <v>3</v>
      </c>
      <c r="G272" s="520"/>
      <c r="H272" s="520">
        <f aca="true" t="shared" si="1" ref="H272:H295">IF(B272&lt;=$G$20,$H$270,0)</f>
        <v>1460.4051178119792</v>
      </c>
      <c r="J272" s="346"/>
      <c r="K272" s="520">
        <f t="shared" si="0"/>
        <v>1582.0817315193117</v>
      </c>
    </row>
    <row r="273" spans="2:11" ht="15">
      <c r="B273" s="517">
        <v>4</v>
      </c>
      <c r="G273" s="520"/>
      <c r="H273" s="520">
        <f t="shared" si="1"/>
        <v>1460.4051178119792</v>
      </c>
      <c r="J273" s="520"/>
      <c r="K273" s="520">
        <f t="shared" si="0"/>
        <v>1582.0817315193117</v>
      </c>
    </row>
    <row r="274" spans="2:11" ht="15">
      <c r="B274" s="517">
        <v>5</v>
      </c>
      <c r="G274" s="520"/>
      <c r="H274" s="520">
        <f t="shared" si="1"/>
        <v>1460.4051178119792</v>
      </c>
      <c r="J274" s="520"/>
      <c r="K274" s="520">
        <f t="shared" si="0"/>
        <v>1582.0817315193117</v>
      </c>
    </row>
    <row r="275" spans="2:11" ht="15">
      <c r="B275" s="517">
        <v>6</v>
      </c>
      <c r="G275" s="520"/>
      <c r="H275" s="520">
        <f t="shared" si="1"/>
        <v>1460.4051178119792</v>
      </c>
      <c r="J275" s="520"/>
      <c r="K275" s="520">
        <f t="shared" si="0"/>
        <v>1582.0817315193117</v>
      </c>
    </row>
    <row r="276" spans="2:11" ht="15">
      <c r="B276" s="517">
        <v>7</v>
      </c>
      <c r="G276" s="520"/>
      <c r="H276" s="520">
        <f t="shared" si="1"/>
        <v>1460.4051178119792</v>
      </c>
      <c r="J276" s="520"/>
      <c r="K276" s="520">
        <f t="shared" si="0"/>
        <v>1582.0817315193117</v>
      </c>
    </row>
    <row r="277" spans="2:11" ht="15">
      <c r="B277" s="517">
        <v>8</v>
      </c>
      <c r="G277" s="520"/>
      <c r="H277" s="520">
        <f t="shared" si="1"/>
        <v>1460.4051178119792</v>
      </c>
      <c r="J277" s="520"/>
      <c r="K277" s="520">
        <f t="shared" si="0"/>
        <v>1582.0817315193117</v>
      </c>
    </row>
    <row r="278" spans="2:11" ht="15">
      <c r="B278" s="517">
        <v>9</v>
      </c>
      <c r="G278" s="520"/>
      <c r="H278" s="520">
        <f t="shared" si="1"/>
        <v>1460.4051178119792</v>
      </c>
      <c r="J278" s="520"/>
      <c r="K278" s="520">
        <f t="shared" si="0"/>
        <v>1582.0817315193117</v>
      </c>
    </row>
    <row r="279" spans="2:11" ht="15">
      <c r="B279" s="517">
        <v>10</v>
      </c>
      <c r="G279" s="520"/>
      <c r="H279" s="520">
        <f t="shared" si="1"/>
        <v>1460.4051178119792</v>
      </c>
      <c r="J279" s="520"/>
      <c r="K279" s="520">
        <f t="shared" si="0"/>
        <v>1582.0817315193117</v>
      </c>
    </row>
    <row r="280" spans="2:11" ht="15">
      <c r="B280" s="517">
        <v>11</v>
      </c>
      <c r="G280" s="520"/>
      <c r="H280" s="520">
        <f>IF(B280&lt;=$G$20,$H$270,0)</f>
        <v>1460.4051178119792</v>
      </c>
      <c r="J280" s="520"/>
      <c r="K280" s="520">
        <f t="shared" si="0"/>
        <v>1582.0817315193117</v>
      </c>
    </row>
    <row r="281" spans="2:11" ht="15">
      <c r="B281" s="517">
        <v>12</v>
      </c>
      <c r="G281" s="520"/>
      <c r="H281" s="520">
        <f t="shared" si="1"/>
        <v>1460.4051178119792</v>
      </c>
      <c r="J281" s="520"/>
      <c r="K281" s="520">
        <f t="shared" si="0"/>
        <v>1582.0817315193117</v>
      </c>
    </row>
    <row r="282" spans="2:11" ht="15">
      <c r="B282" s="517">
        <v>13</v>
      </c>
      <c r="G282" s="520"/>
      <c r="H282" s="520">
        <f t="shared" si="1"/>
        <v>1460.4051178119792</v>
      </c>
      <c r="J282" s="520"/>
      <c r="K282" s="520">
        <f t="shared" si="0"/>
        <v>1582.0817315193117</v>
      </c>
    </row>
    <row r="283" spans="2:11" ht="15">
      <c r="B283" s="517">
        <v>14</v>
      </c>
      <c r="G283" s="520"/>
      <c r="H283" s="520">
        <f t="shared" si="1"/>
        <v>1460.4051178119792</v>
      </c>
      <c r="J283" s="520"/>
      <c r="K283" s="520">
        <f t="shared" si="0"/>
        <v>1582.0817315193117</v>
      </c>
    </row>
    <row r="284" spans="2:11" ht="15">
      <c r="B284" s="517">
        <v>15</v>
      </c>
      <c r="G284" s="520"/>
      <c r="H284" s="520">
        <f t="shared" si="1"/>
        <v>1460.4051178119792</v>
      </c>
      <c r="J284" s="520"/>
      <c r="K284" s="520">
        <f t="shared" si="0"/>
        <v>1582.0817315193117</v>
      </c>
    </row>
    <row r="285" spans="2:11" ht="15">
      <c r="B285" s="517">
        <v>16</v>
      </c>
      <c r="G285" s="520"/>
      <c r="H285" s="520">
        <f t="shared" si="1"/>
        <v>1460.4051178119792</v>
      </c>
      <c r="J285" s="520"/>
      <c r="K285" s="520">
        <f t="shared" si="0"/>
        <v>1582.0817315193117</v>
      </c>
    </row>
    <row r="286" spans="2:11" ht="15">
      <c r="B286" s="517">
        <v>17</v>
      </c>
      <c r="G286" s="520"/>
      <c r="H286" s="520">
        <f t="shared" si="1"/>
        <v>1460.4051178119792</v>
      </c>
      <c r="J286" s="520"/>
      <c r="K286" s="520">
        <f t="shared" si="0"/>
        <v>1582.0817315193117</v>
      </c>
    </row>
    <row r="287" spans="2:11" ht="15">
      <c r="B287" s="517">
        <v>18</v>
      </c>
      <c r="G287" s="520"/>
      <c r="H287" s="520">
        <f t="shared" si="1"/>
        <v>1460.4051178119792</v>
      </c>
      <c r="J287" s="520"/>
      <c r="K287" s="520">
        <f t="shared" si="0"/>
        <v>1582.0817315193117</v>
      </c>
    </row>
    <row r="288" spans="2:11" ht="15">
      <c r="B288" s="517">
        <v>19</v>
      </c>
      <c r="G288" s="520"/>
      <c r="H288" s="520">
        <f t="shared" si="1"/>
        <v>1460.4051178119792</v>
      </c>
      <c r="J288" s="520"/>
      <c r="K288" s="520">
        <f t="shared" si="0"/>
        <v>1582.0817315193117</v>
      </c>
    </row>
    <row r="289" spans="2:11" ht="15">
      <c r="B289" s="517">
        <v>20</v>
      </c>
      <c r="G289" s="520"/>
      <c r="H289" s="520">
        <f>IF(B289&lt;=$G$20,$H$270,0)</f>
        <v>1460.4051178119792</v>
      </c>
      <c r="J289" s="520"/>
      <c r="K289" s="520">
        <f t="shared" si="0"/>
        <v>1582.0817315193117</v>
      </c>
    </row>
    <row r="290" spans="2:11" ht="15">
      <c r="B290" s="517">
        <v>21</v>
      </c>
      <c r="G290" s="520"/>
      <c r="H290" s="520">
        <f t="shared" si="1"/>
        <v>0</v>
      </c>
      <c r="J290" s="520"/>
      <c r="K290" s="520">
        <f t="shared" si="0"/>
        <v>0</v>
      </c>
    </row>
    <row r="291" spans="2:11" ht="15">
      <c r="B291" s="517">
        <v>22</v>
      </c>
      <c r="G291" s="520"/>
      <c r="H291" s="520">
        <f t="shared" si="1"/>
        <v>0</v>
      </c>
      <c r="J291" s="520"/>
      <c r="K291" s="520">
        <f t="shared" si="0"/>
        <v>0</v>
      </c>
    </row>
    <row r="292" spans="2:11" ht="15">
      <c r="B292" s="517">
        <v>23</v>
      </c>
      <c r="G292" s="520"/>
      <c r="H292" s="520">
        <f t="shared" si="1"/>
        <v>0</v>
      </c>
      <c r="J292" s="520"/>
      <c r="K292" s="520">
        <f t="shared" si="0"/>
        <v>0</v>
      </c>
    </row>
    <row r="293" spans="2:11" ht="15">
      <c r="B293" s="517">
        <v>24</v>
      </c>
      <c r="G293" s="520"/>
      <c r="H293" s="520">
        <f t="shared" si="1"/>
        <v>0</v>
      </c>
      <c r="J293" s="520"/>
      <c r="K293" s="520">
        <f t="shared" si="0"/>
        <v>0</v>
      </c>
    </row>
    <row r="294" spans="2:11" ht="15">
      <c r="B294" s="517">
        <v>25</v>
      </c>
      <c r="G294" s="520"/>
      <c r="H294" s="520">
        <f t="shared" si="1"/>
        <v>0</v>
      </c>
      <c r="J294" s="520"/>
      <c r="K294" s="520">
        <f t="shared" si="0"/>
        <v>0</v>
      </c>
    </row>
    <row r="295" spans="2:11" ht="15">
      <c r="B295" s="517">
        <v>26</v>
      </c>
      <c r="G295" s="520"/>
      <c r="H295" s="520">
        <f t="shared" si="1"/>
        <v>0</v>
      </c>
      <c r="J295" s="520"/>
      <c r="K295" s="520">
        <f t="shared" si="0"/>
        <v>0</v>
      </c>
    </row>
    <row r="296" spans="7:11" ht="15">
      <c r="G296" s="517"/>
      <c r="H296" s="517"/>
      <c r="J296" s="517"/>
      <c r="K296" s="517"/>
    </row>
    <row r="297" spans="5:11" ht="15">
      <c r="E297" s="267" t="s">
        <v>147</v>
      </c>
      <c r="J297" s="517"/>
      <c r="K297" s="517"/>
    </row>
    <row r="298" spans="2:11" ht="15">
      <c r="B298" s="3" t="s">
        <v>186</v>
      </c>
      <c r="G298" s="372">
        <f>-H310</f>
        <v>0</v>
      </c>
      <c r="H298" s="281"/>
      <c r="J298" s="517"/>
      <c r="K298" s="517"/>
    </row>
    <row r="299" spans="2:11" ht="15">
      <c r="B299" s="3" t="s">
        <v>514</v>
      </c>
      <c r="G299" s="373">
        <f>1!AM72</f>
        <v>15617.359203562759</v>
      </c>
      <c r="H299" s="517"/>
      <c r="J299" s="517"/>
      <c r="K299" s="517"/>
    </row>
    <row r="300" spans="2:11" ht="15">
      <c r="B300" s="3" t="s">
        <v>187</v>
      </c>
      <c r="G300" s="520">
        <f>G304+G299</f>
        <v>15617.359203562759</v>
      </c>
      <c r="H300" s="520"/>
      <c r="J300" s="517"/>
      <c r="K300" s="517"/>
    </row>
    <row r="301" spans="2:11" ht="15">
      <c r="B301" s="3" t="s">
        <v>515</v>
      </c>
      <c r="G301" s="520">
        <f>A!G260</f>
        <v>12</v>
      </c>
      <c r="H301" s="374"/>
      <c r="J301" s="517"/>
      <c r="K301" s="517"/>
    </row>
    <row r="302" spans="2:11" ht="15">
      <c r="B302" s="3" t="s">
        <v>188</v>
      </c>
      <c r="G302" s="520">
        <f>G261</f>
        <v>20</v>
      </c>
      <c r="H302" s="517"/>
      <c r="J302" s="517"/>
      <c r="K302" s="517"/>
    </row>
    <row r="303" spans="2:11" ht="15">
      <c r="B303" s="3" t="s">
        <v>442</v>
      </c>
      <c r="G303" s="375">
        <f>Simulatore!E25</f>
        <v>1</v>
      </c>
      <c r="H303" s="375"/>
      <c r="J303" s="517"/>
      <c r="K303" s="517"/>
    </row>
    <row r="304" spans="2:11" ht="15">
      <c r="B304" s="376" t="s">
        <v>251</v>
      </c>
      <c r="G304" s="373">
        <f>-1!EM155</f>
        <v>0</v>
      </c>
      <c r="H304" s="517"/>
      <c r="J304" s="517"/>
      <c r="K304" s="517"/>
    </row>
    <row r="305" spans="2:11" ht="15">
      <c r="B305" s="3" t="s">
        <v>253</v>
      </c>
      <c r="G305" s="373">
        <f>Simulatore!R8</f>
        <v>13590.643152676796</v>
      </c>
      <c r="H305" s="517"/>
      <c r="J305" s="517"/>
      <c r="K305" s="517"/>
    </row>
    <row r="306" spans="2:11" ht="15">
      <c r="B306" s="3" t="s">
        <v>252</v>
      </c>
      <c r="G306" s="373">
        <f>IF(G304=0,G305,G304)</f>
        <v>13590.643152676796</v>
      </c>
      <c r="H306" s="517"/>
      <c r="J306" s="517"/>
      <c r="K306" s="517"/>
    </row>
    <row r="307" spans="2:11" ht="15">
      <c r="B307" s="3" t="s">
        <v>489</v>
      </c>
      <c r="H307" s="517"/>
      <c r="J307" s="517"/>
      <c r="K307" s="517"/>
    </row>
    <row r="308" spans="4:11" ht="18.75">
      <c r="D308" s="337"/>
      <c r="E308" s="339" t="s">
        <v>455</v>
      </c>
      <c r="G308" s="346" t="e">
        <f>IRR(H310:H336)</f>
        <v>#DIV/0!</v>
      </c>
      <c r="H308" s="352" t="e">
        <f>IF(H312=0,0,G308)</f>
        <v>#DIV/0!</v>
      </c>
      <c r="J308" s="517"/>
      <c r="K308" s="517"/>
    </row>
    <row r="309" spans="4:11" ht="18.75">
      <c r="D309" s="337"/>
      <c r="E309" s="339" t="s">
        <v>188</v>
      </c>
      <c r="G309" s="345">
        <f>G298/H311</f>
        <v>0</v>
      </c>
      <c r="H309" s="377">
        <f>IF(H312=0,0,G309)</f>
        <v>0</v>
      </c>
      <c r="J309" s="517"/>
      <c r="K309" s="517"/>
    </row>
    <row r="310" spans="4:11" ht="18.75">
      <c r="D310" s="337"/>
      <c r="E310" s="339" t="s">
        <v>186</v>
      </c>
      <c r="G310" s="520"/>
      <c r="H310" s="340">
        <f>-G304</f>
        <v>0</v>
      </c>
      <c r="J310" s="517"/>
      <c r="K310" s="517"/>
    </row>
    <row r="311" spans="2:11" ht="18.75">
      <c r="B311" s="517">
        <v>1</v>
      </c>
      <c r="D311" s="337"/>
      <c r="E311" s="339" t="s">
        <v>516</v>
      </c>
      <c r="G311" s="520"/>
      <c r="H311" s="340">
        <f>1!BA130</f>
        <v>67.28122161382112</v>
      </c>
      <c r="J311" s="517"/>
      <c r="K311" s="517"/>
    </row>
    <row r="312" spans="2:11" ht="18.75">
      <c r="B312" s="517">
        <v>2</v>
      </c>
      <c r="G312" s="520"/>
      <c r="H312" s="340">
        <f>1!BA131</f>
        <v>19.492108411255003</v>
      </c>
      <c r="J312" s="517"/>
      <c r="K312" s="517"/>
    </row>
    <row r="313" spans="2:11" ht="18.75">
      <c r="B313" s="517">
        <v>3</v>
      </c>
      <c r="G313" s="520"/>
      <c r="H313" s="340">
        <f>1!BA132</f>
        <v>-37.849613494747246</v>
      </c>
      <c r="J313" s="517"/>
      <c r="K313" s="517"/>
    </row>
    <row r="314" spans="2:11" ht="18.75">
      <c r="B314" s="517">
        <v>4</v>
      </c>
      <c r="G314" s="520"/>
      <c r="H314" s="340">
        <f>1!BA133</f>
        <v>13.383602506077978</v>
      </c>
      <c r="J314" s="517"/>
      <c r="K314" s="517"/>
    </row>
    <row r="315" spans="2:11" ht="18.75">
      <c r="B315" s="517">
        <v>5</v>
      </c>
      <c r="G315" s="520"/>
      <c r="H315" s="340">
        <f>1!BA134</f>
        <v>67.32590851058603</v>
      </c>
      <c r="J315" s="517"/>
      <c r="K315" s="517"/>
    </row>
    <row r="316" spans="2:11" ht="18.75">
      <c r="B316" s="517">
        <v>6</v>
      </c>
      <c r="G316" s="520"/>
      <c r="H316" s="340">
        <f>1!BA135</f>
        <v>124.11840393590455</v>
      </c>
      <c r="J316" s="517"/>
      <c r="K316" s="517"/>
    </row>
    <row r="317" spans="2:11" ht="18.75">
      <c r="B317" s="517">
        <v>7</v>
      </c>
      <c r="G317" s="520"/>
      <c r="H317" s="340">
        <f>1!BA136</f>
        <v>183.9094950866563</v>
      </c>
      <c r="J317" s="517"/>
      <c r="K317" s="517"/>
    </row>
    <row r="318" spans="2:11" ht="18.75">
      <c r="B318" s="517">
        <v>8</v>
      </c>
      <c r="G318" s="520"/>
      <c r="H318" s="340">
        <f>1!BA137</f>
        <v>246.8552733796712</v>
      </c>
      <c r="J318" s="517"/>
      <c r="K318" s="517"/>
    </row>
    <row r="319" spans="2:11" ht="18.75">
      <c r="B319" s="517">
        <v>9</v>
      </c>
      <c r="G319" s="520"/>
      <c r="H319" s="340">
        <f>1!BA138</f>
        <v>313.1199131985327</v>
      </c>
      <c r="J319" s="517"/>
      <c r="K319" s="517"/>
    </row>
    <row r="320" spans="2:11" ht="18.75">
      <c r="B320" s="517">
        <v>10</v>
      </c>
      <c r="G320" s="520"/>
      <c r="H320" s="340">
        <f>1!BA139</f>
        <v>382.876090401239</v>
      </c>
      <c r="J320" s="517"/>
      <c r="K320" s="517"/>
    </row>
    <row r="321" spans="2:11" ht="18.75">
      <c r="B321" s="517">
        <v>11</v>
      </c>
      <c r="G321" s="520"/>
      <c r="H321" s="340">
        <f>1!BA140</f>
        <v>-235.72673507594573</v>
      </c>
      <c r="J321" s="517"/>
      <c r="K321" s="517"/>
    </row>
    <row r="322" spans="2:11" ht="18.75">
      <c r="B322" s="517">
        <v>12</v>
      </c>
      <c r="G322" s="520"/>
      <c r="H322" s="340">
        <f>1!BA141</f>
        <v>-158.43322558205114</v>
      </c>
      <c r="J322" s="517"/>
      <c r="K322" s="517"/>
    </row>
    <row r="323" spans="2:11" ht="18.75">
      <c r="B323" s="517">
        <v>13</v>
      </c>
      <c r="G323" s="520"/>
      <c r="H323" s="340">
        <f>1!BA142</f>
        <v>831.8073555733961</v>
      </c>
      <c r="J323" s="517"/>
      <c r="K323" s="517"/>
    </row>
    <row r="324" spans="2:11" ht="18.75">
      <c r="B324" s="517">
        <v>14</v>
      </c>
      <c r="G324" s="520"/>
      <c r="H324" s="340">
        <f>1!BA143</f>
        <v>1675.996932563369</v>
      </c>
      <c r="J324" s="517"/>
      <c r="K324" s="517"/>
    </row>
    <row r="325" spans="2:11" ht="18.75">
      <c r="B325" s="517">
        <v>15</v>
      </c>
      <c r="G325" s="520"/>
      <c r="H325" s="340">
        <f>1!BA144</f>
        <v>1766.1306170501516</v>
      </c>
      <c r="J325" s="517"/>
      <c r="K325" s="517"/>
    </row>
    <row r="326" spans="2:11" ht="18.75">
      <c r="B326" s="517">
        <v>16</v>
      </c>
      <c r="G326" s="520"/>
      <c r="H326" s="340">
        <f>1!BA145</f>
        <v>1860.9967473544523</v>
      </c>
      <c r="J326" s="517"/>
      <c r="K326" s="517"/>
    </row>
    <row r="327" spans="2:11" ht="18.75">
      <c r="B327" s="517">
        <v>17</v>
      </c>
      <c r="G327" s="520"/>
      <c r="H327" s="340">
        <f>1!BA146</f>
        <v>1960.841203753449</v>
      </c>
      <c r="J327" s="517"/>
      <c r="K327" s="517"/>
    </row>
    <row r="328" spans="2:11" ht="18.75">
      <c r="B328" s="517">
        <v>18</v>
      </c>
      <c r="G328" s="520"/>
      <c r="H328" s="340">
        <f>1!BA147</f>
        <v>2065.9226014409414</v>
      </c>
      <c r="J328" s="517"/>
      <c r="K328" s="517"/>
    </row>
    <row r="329" spans="2:11" ht="18.75">
      <c r="B329" s="517">
        <v>19</v>
      </c>
      <c r="G329" s="520"/>
      <c r="H329" s="340">
        <f>1!BA148</f>
        <v>2176.51295081504</v>
      </c>
      <c r="J329" s="517"/>
      <c r="K329" s="517"/>
    </row>
    <row r="330" spans="2:11" ht="18.75">
      <c r="B330" s="517">
        <v>20</v>
      </c>
      <c r="G330" s="520"/>
      <c r="H330" s="340">
        <f>1!BA149</f>
        <v>2292.898352120958</v>
      </c>
      <c r="J330" s="517"/>
      <c r="K330" s="517"/>
    </row>
    <row r="331" spans="2:11" ht="18.75">
      <c r="B331" s="517">
        <v>21</v>
      </c>
      <c r="G331" s="520"/>
      <c r="H331" s="340">
        <f>1!BA150</f>
        <v>0</v>
      </c>
      <c r="J331" s="517"/>
      <c r="K331" s="517"/>
    </row>
    <row r="332" spans="2:11" ht="18.75">
      <c r="B332" s="517">
        <v>22</v>
      </c>
      <c r="G332" s="520"/>
      <c r="H332" s="340">
        <f>1!BA151</f>
        <v>0</v>
      </c>
      <c r="J332" s="517"/>
      <c r="K332" s="517"/>
    </row>
    <row r="333" spans="2:11" ht="18.75">
      <c r="B333" s="517">
        <v>23</v>
      </c>
      <c r="G333" s="520"/>
      <c r="H333" s="340">
        <f>1!BA152</f>
        <v>0</v>
      </c>
      <c r="J333" s="517"/>
      <c r="K333" s="517"/>
    </row>
    <row r="334" spans="2:11" ht="18.75">
      <c r="B334" s="517">
        <v>24</v>
      </c>
      <c r="G334" s="520"/>
      <c r="H334" s="340">
        <f>1!BA153</f>
        <v>0</v>
      </c>
      <c r="J334" s="517"/>
      <c r="K334" s="517"/>
    </row>
    <row r="335" spans="2:11" ht="18.75">
      <c r="B335" s="517">
        <v>25</v>
      </c>
      <c r="G335" s="520"/>
      <c r="H335" s="340">
        <f>1!BA154</f>
        <v>0</v>
      </c>
      <c r="J335" s="517"/>
      <c r="K335" s="517"/>
    </row>
    <row r="336" spans="2:11" ht="15">
      <c r="B336" s="517">
        <v>26</v>
      </c>
      <c r="G336" s="520"/>
      <c r="H336" s="520">
        <f>IF(B336&lt;=$G$20,$H$270,0)</f>
        <v>0</v>
      </c>
      <c r="J336" s="517"/>
      <c r="K336" s="517"/>
    </row>
    <row r="337" spans="7:11" ht="15">
      <c r="G337" s="517"/>
      <c r="H337" s="517"/>
      <c r="J337" s="517"/>
      <c r="K337" s="517"/>
    </row>
    <row r="338" spans="7:11" ht="15">
      <c r="G338" s="517"/>
      <c r="H338" s="517"/>
      <c r="J338" s="517"/>
      <c r="K338" s="517"/>
    </row>
    <row r="339" spans="7:11" ht="15">
      <c r="G339" s="517"/>
      <c r="H339" s="517"/>
      <c r="J339" s="517"/>
      <c r="K339" s="517"/>
    </row>
    <row r="340" spans="7:11" ht="15">
      <c r="G340" s="517"/>
      <c r="H340" s="517"/>
      <c r="J340" s="517"/>
      <c r="K340" s="517"/>
    </row>
    <row r="341" spans="7:11" ht="15">
      <c r="G341" s="517"/>
      <c r="H341" s="517"/>
      <c r="J341" s="517"/>
      <c r="K341" s="517"/>
    </row>
    <row r="342" spans="7:11" ht="15">
      <c r="G342" s="517"/>
      <c r="H342" s="517"/>
      <c r="J342" s="517"/>
      <c r="K342" s="517"/>
    </row>
    <row r="343" spans="7:11" ht="15">
      <c r="G343" s="517"/>
      <c r="H343" s="517"/>
      <c r="J343" s="517"/>
      <c r="K343" s="517"/>
    </row>
    <row r="344" spans="7:11" ht="15">
      <c r="G344" s="517"/>
      <c r="H344" s="517"/>
      <c r="J344" s="517"/>
      <c r="K344" s="517"/>
    </row>
    <row r="345" spans="7:11" ht="15">
      <c r="G345" s="517"/>
      <c r="H345" s="517"/>
      <c r="J345" s="517"/>
      <c r="K345" s="517"/>
    </row>
    <row r="346" spans="7:11" ht="15">
      <c r="G346" s="517"/>
      <c r="H346" s="517"/>
      <c r="J346" s="517"/>
      <c r="K346" s="517"/>
    </row>
    <row r="347" spans="7:11" ht="15">
      <c r="G347" s="517"/>
      <c r="H347" s="517"/>
      <c r="J347" s="517"/>
      <c r="K347" s="517"/>
    </row>
    <row r="348" spans="7:11" ht="15">
      <c r="G348" s="517"/>
      <c r="H348" s="517"/>
      <c r="J348" s="517"/>
      <c r="K348" s="517"/>
    </row>
  </sheetData>
  <sheetProtection password="D412" sheet="1" selectLockedCells="1"/>
  <mergeCells count="5">
    <mergeCell ref="P153:Q153"/>
    <mergeCell ref="J105:K105"/>
    <mergeCell ref="G105:H105"/>
    <mergeCell ref="G3:H3"/>
    <mergeCell ref="J3:K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I142"/>
  <sheetViews>
    <sheetView showGridLines="0" showRowColHeaders="0" zoomScalePageLayoutView="0" workbookViewId="0" topLeftCell="A1">
      <selection activeCell="A142" sqref="A142"/>
    </sheetView>
  </sheetViews>
  <sheetFormatPr defaultColWidth="9.140625" defaultRowHeight="15"/>
  <cols>
    <col min="1" max="1" width="26.00390625" style="3" customWidth="1"/>
    <col min="2" max="4" width="16.00390625" style="3" customWidth="1"/>
    <col min="5" max="5" width="14.421875" style="3" customWidth="1"/>
    <col min="6" max="6" width="9.140625" style="3" customWidth="1"/>
    <col min="7" max="7" width="11.28125" style="3" bestFit="1" customWidth="1"/>
    <col min="8" max="8" width="9.140625" style="3" customWidth="1"/>
    <col min="9" max="9" width="13.421875" style="3" customWidth="1"/>
    <col min="10" max="16384" width="9.140625" style="3" customWidth="1"/>
  </cols>
  <sheetData>
    <row r="2" spans="2:7" ht="15">
      <c r="B2" s="178" t="s">
        <v>316</v>
      </c>
      <c r="C2" s="178"/>
      <c r="D2" s="178" t="s">
        <v>317</v>
      </c>
      <c r="E2" s="178" t="s">
        <v>317</v>
      </c>
      <c r="F2" s="178" t="s">
        <v>318</v>
      </c>
      <c r="G2" s="178" t="s">
        <v>319</v>
      </c>
    </row>
    <row r="3" ht="15">
      <c r="A3" s="6"/>
    </row>
    <row r="4" spans="1:4" ht="18.75">
      <c r="A4" s="260" t="s">
        <v>441</v>
      </c>
      <c r="B4" s="378">
        <f>C!F4+A!H119+Simulatore!AT28+Simulatore!C62+Simulatore!BD30+A!H212+D!G5</f>
        <v>13590.643152676796</v>
      </c>
      <c r="C4" s="378"/>
      <c r="D4" s="378">
        <f>C!G4+A!K119+Simulatore!AT25+Simulatore!C61+Simulatore!BD29+A!J212+D!J5</f>
        <v>15590.643152676796</v>
      </c>
    </row>
    <row r="5" spans="1:4" ht="15">
      <c r="A5" s="3" t="s">
        <v>442</v>
      </c>
      <c r="B5" s="330">
        <f>Simulatore!E25</f>
        <v>1</v>
      </c>
      <c r="C5" s="330"/>
      <c r="D5" s="330">
        <f>Simulatore!G25</f>
        <v>1</v>
      </c>
    </row>
    <row r="6" spans="1:6" ht="18.75">
      <c r="A6" s="260" t="s">
        <v>308</v>
      </c>
      <c r="B6" s="378">
        <f>B4*B5</f>
        <v>13590.643152676796</v>
      </c>
      <c r="C6" s="378"/>
      <c r="D6" s="378">
        <f>D4*D5</f>
        <v>15590.643152676796</v>
      </c>
      <c r="F6" s="293"/>
    </row>
    <row r="7" spans="1:6" ht="18.75">
      <c r="A7" s="3" t="s">
        <v>309</v>
      </c>
      <c r="B7" s="379">
        <f>Simulatore!E26</f>
        <v>0.07</v>
      </c>
      <c r="C7" s="379"/>
      <c r="D7" s="379">
        <f>Simulatore!G26</f>
        <v>0.07</v>
      </c>
      <c r="E7" s="293"/>
      <c r="F7" s="293"/>
    </row>
    <row r="8" spans="1:4" ht="15">
      <c r="A8" s="3" t="s">
        <v>443</v>
      </c>
      <c r="B8" s="178">
        <f>12*Simulatore!E27</f>
        <v>144</v>
      </c>
      <c r="C8" s="178"/>
      <c r="D8" s="178">
        <f>12*Simulatore!G27</f>
        <v>144</v>
      </c>
    </row>
    <row r="9" spans="1:4" ht="15">
      <c r="A9" s="3" t="s">
        <v>0</v>
      </c>
      <c r="B9" s="373">
        <f>-PMT(B7/12,B8,B6,0,1)</f>
        <v>138.95304544096996</v>
      </c>
      <c r="C9" s="373"/>
      <c r="D9" s="373">
        <f>-PMT(D7/12,D8,D6,0,1)</f>
        <v>159.40138535836408</v>
      </c>
    </row>
    <row r="10" spans="1:4" ht="15">
      <c r="A10" s="3" t="s">
        <v>315</v>
      </c>
      <c r="B10" s="373">
        <f>B9*B8</f>
        <v>20009.238543499676</v>
      </c>
      <c r="C10" s="373"/>
      <c r="D10" s="373">
        <f>D9*D8</f>
        <v>22953.799491604426</v>
      </c>
    </row>
    <row r="11" spans="1:5" ht="18.75">
      <c r="A11" s="3" t="s">
        <v>2</v>
      </c>
      <c r="B11" s="378">
        <f>B10-B6</f>
        <v>6418.59539082288</v>
      </c>
      <c r="C11" s="380">
        <f>B4+B11</f>
        <v>20009.238543499676</v>
      </c>
      <c r="D11" s="378">
        <f>D10-D6</f>
        <v>7363.156338927631</v>
      </c>
      <c r="E11" s="380">
        <f>D4+D11</f>
        <v>22953.799491604426</v>
      </c>
    </row>
    <row r="12" spans="2:4" ht="15">
      <c r="B12" s="178"/>
      <c r="C12" s="178"/>
      <c r="D12" s="178"/>
    </row>
    <row r="13" spans="2:4" ht="21">
      <c r="B13" s="381" t="s">
        <v>469</v>
      </c>
      <c r="C13" s="381"/>
      <c r="D13" s="381"/>
    </row>
    <row r="14" spans="2:4" ht="15">
      <c r="B14" s="178"/>
      <c r="C14" s="178"/>
      <c r="D14" s="178"/>
    </row>
    <row r="15" ht="18.75">
      <c r="A15" s="337" t="s">
        <v>498</v>
      </c>
    </row>
    <row r="16" spans="2:5" ht="18.75">
      <c r="B16" s="378">
        <f>B19+B28</f>
        <v>32126.80475669464</v>
      </c>
      <c r="C16" s="378"/>
      <c r="D16" s="378">
        <f>D19+D28</f>
        <v>32126.80475669464</v>
      </c>
      <c r="E16" s="378"/>
    </row>
    <row r="17" spans="1:4" ht="33" customHeight="1">
      <c r="A17" s="382" t="s">
        <v>491</v>
      </c>
      <c r="B17" s="278" t="str">
        <f>Simulatore!B81</f>
        <v>               Media</v>
      </c>
      <c r="C17" s="278"/>
      <c r="D17" s="278" t="str">
        <f>Simulatore!B80</f>
        <v>               Media</v>
      </c>
    </row>
    <row r="18" spans="1:4" ht="15">
      <c r="A18" s="3" t="s">
        <v>168</v>
      </c>
      <c r="B18" s="373">
        <f>Simulatore!O11</f>
        <v>32000</v>
      </c>
      <c r="C18" s="373"/>
      <c r="D18" s="373">
        <f>Simulatore!O11</f>
        <v>32000</v>
      </c>
    </row>
    <row r="19" spans="1:5" ht="15">
      <c r="A19" s="3" t="s">
        <v>311</v>
      </c>
      <c r="B19" s="373">
        <f>B20-B18</f>
        <v>23021.905291123934</v>
      </c>
      <c r="C19" s="373"/>
      <c r="D19" s="373">
        <f>D20-D18</f>
        <v>23021.905291123934</v>
      </c>
      <c r="E19" s="373"/>
    </row>
    <row r="20" spans="1:4" ht="15">
      <c r="A20" s="3" t="s">
        <v>314</v>
      </c>
      <c r="B20" s="373">
        <f>B23*B22</f>
        <v>55021.905291123934</v>
      </c>
      <c r="C20" s="373"/>
      <c r="D20" s="373">
        <f>D23*D22</f>
        <v>55021.905291123934</v>
      </c>
    </row>
    <row r="21" spans="1:4" ht="15">
      <c r="A21" s="3" t="s">
        <v>312</v>
      </c>
      <c r="B21" s="330">
        <f>Simulatore!D81</f>
        <v>0.06</v>
      </c>
      <c r="C21" s="330"/>
      <c r="D21" s="330">
        <f>Simulatore!D80</f>
        <v>0.06</v>
      </c>
    </row>
    <row r="22" spans="1:4" ht="15">
      <c r="A22" s="3" t="s">
        <v>310</v>
      </c>
      <c r="B22" s="178">
        <f>12*Simulatore!E29</f>
        <v>240</v>
      </c>
      <c r="C22" s="178"/>
      <c r="D22" s="178">
        <f>12*Simulatore!G29</f>
        <v>240</v>
      </c>
    </row>
    <row r="23" spans="1:7" ht="18.75">
      <c r="A23" s="3" t="s">
        <v>313</v>
      </c>
      <c r="B23" s="373">
        <f>-PMT(B21/12,B22,B18)</f>
        <v>229.2579387130164</v>
      </c>
      <c r="C23" s="373"/>
      <c r="D23" s="373">
        <f>-PMT(D21/12,D22,D18)</f>
        <v>229.2579387130164</v>
      </c>
      <c r="G23" s="378"/>
    </row>
    <row r="24" spans="2:4" ht="15">
      <c r="B24" s="178"/>
      <c r="C24" s="178"/>
      <c r="D24" s="178"/>
    </row>
    <row r="25" spans="2:4" ht="15">
      <c r="B25" s="178"/>
      <c r="C25" s="178"/>
      <c r="D25" s="178"/>
    </row>
    <row r="26" spans="1:4" ht="30">
      <c r="A26" s="382" t="s">
        <v>492</v>
      </c>
      <c r="B26" s="278" t="str">
        <f>Simulatore!B81</f>
        <v>               Media</v>
      </c>
      <c r="C26" s="278"/>
      <c r="D26" s="278" t="str">
        <f>Simulatore!B80</f>
        <v>               Media</v>
      </c>
    </row>
    <row r="27" spans="1:4" ht="15">
      <c r="A27" s="3" t="s">
        <v>168</v>
      </c>
      <c r="B27" s="373">
        <f>Simulatore!O12</f>
        <v>15593.41762</v>
      </c>
      <c r="C27" s="373"/>
      <c r="D27" s="373">
        <f>Simulatore!O12</f>
        <v>15593.41762</v>
      </c>
    </row>
    <row r="28" spans="1:5" ht="15">
      <c r="A28" s="3" t="s">
        <v>311</v>
      </c>
      <c r="B28" s="373">
        <f>B29-B27</f>
        <v>9104.899465570707</v>
      </c>
      <c r="C28" s="373"/>
      <c r="D28" s="373">
        <f>D29-D27</f>
        <v>9104.899465570707</v>
      </c>
      <c r="E28" s="373"/>
    </row>
    <row r="29" spans="1:4" ht="15">
      <c r="A29" s="3" t="s">
        <v>314</v>
      </c>
      <c r="B29" s="373">
        <f>B32*B31</f>
        <v>24698.317085570707</v>
      </c>
      <c r="C29" s="373"/>
      <c r="D29" s="373">
        <f>D32*D31</f>
        <v>24698.317085570707</v>
      </c>
    </row>
    <row r="30" spans="1:4" ht="15">
      <c r="A30" s="3" t="s">
        <v>312</v>
      </c>
      <c r="B30" s="330">
        <f>Simulatore!C81</f>
        <v>0.05</v>
      </c>
      <c r="C30" s="330"/>
      <c r="D30" s="330">
        <f>Simulatore!C80</f>
        <v>0.05</v>
      </c>
    </row>
    <row r="31" spans="1:4" ht="15">
      <c r="A31" s="3" t="s">
        <v>310</v>
      </c>
      <c r="B31" s="178">
        <f>12*Simulatore!E29</f>
        <v>240</v>
      </c>
      <c r="C31" s="178"/>
      <c r="D31" s="178">
        <f>12*Simulatore!G29</f>
        <v>240</v>
      </c>
    </row>
    <row r="32" spans="1:7" ht="15">
      <c r="A32" s="3" t="s">
        <v>313</v>
      </c>
      <c r="B32" s="373">
        <f>-PMT(B30/12,B31,B27)</f>
        <v>102.90965452321127</v>
      </c>
      <c r="C32" s="373"/>
      <c r="D32" s="373">
        <f>-PMT(D30/12,D31,D27)</f>
        <v>102.90965452321127</v>
      </c>
      <c r="G32" s="293"/>
    </row>
    <row r="33" spans="2:7" ht="15">
      <c r="B33" s="178"/>
      <c r="C33" s="178"/>
      <c r="D33" s="178"/>
      <c r="G33" s="293"/>
    </row>
    <row r="34" ht="18.75">
      <c r="A34" s="337" t="s">
        <v>497</v>
      </c>
    </row>
    <row r="35" ht="18.75">
      <c r="A35" s="337"/>
    </row>
    <row r="36" spans="1:7" ht="18.75">
      <c r="A36" s="337" t="s">
        <v>510</v>
      </c>
      <c r="B36" s="378">
        <f>B47+B55</f>
        <v>26230.082596121083</v>
      </c>
      <c r="C36" s="378"/>
      <c r="D36" s="378">
        <f>D47+D55</f>
        <v>26756.60564222366</v>
      </c>
      <c r="G36" s="293"/>
    </row>
    <row r="37" spans="1:7" ht="30">
      <c r="A37" s="272" t="s">
        <v>493</v>
      </c>
      <c r="B37" s="8" t="str">
        <f>Simulatore!B81</f>
        <v>               Media</v>
      </c>
      <c r="C37" s="8"/>
      <c r="D37" s="8" t="str">
        <f>Simulatore!B80</f>
        <v>               Media</v>
      </c>
      <c r="G37" s="341"/>
    </row>
    <row r="38" spans="1:4" ht="15">
      <c r="A38" s="3" t="s">
        <v>168</v>
      </c>
      <c r="B38" s="373">
        <f>A!H51</f>
        <v>5000</v>
      </c>
      <c r="C38" s="373"/>
      <c r="D38" s="373">
        <f>A!K51</f>
        <v>5000</v>
      </c>
    </row>
    <row r="39" spans="1:7" ht="15">
      <c r="A39" s="3" t="s">
        <v>311</v>
      </c>
      <c r="B39" s="373">
        <f>B40-B38</f>
        <v>1655.1711742470297</v>
      </c>
      <c r="C39" s="373"/>
      <c r="D39" s="373">
        <f>D40-D38</f>
        <v>1655.1711742470297</v>
      </c>
      <c r="G39" s="293"/>
    </row>
    <row r="40" spans="1:4" ht="15">
      <c r="A40" s="3" t="s">
        <v>314</v>
      </c>
      <c r="B40" s="373">
        <f>B43*B42</f>
        <v>6655.17117424703</v>
      </c>
      <c r="C40" s="373"/>
      <c r="D40" s="373">
        <f>D43*D42</f>
        <v>6655.17117424703</v>
      </c>
    </row>
    <row r="41" spans="1:4" ht="15">
      <c r="A41" s="3" t="s">
        <v>312</v>
      </c>
      <c r="B41" s="346">
        <f>Simulatore!E81</f>
        <v>0.03</v>
      </c>
      <c r="C41" s="330"/>
      <c r="D41" s="346">
        <f>Simulatore!E80</f>
        <v>0.03</v>
      </c>
    </row>
    <row r="42" spans="1:4" ht="15">
      <c r="A42" s="3" t="s">
        <v>310</v>
      </c>
      <c r="B42" s="178">
        <f>12*Simulatore!E29</f>
        <v>240</v>
      </c>
      <c r="C42" s="178"/>
      <c r="D42" s="178">
        <f>12*Simulatore!G29</f>
        <v>240</v>
      </c>
    </row>
    <row r="43" spans="1:4" ht="15">
      <c r="A43" s="3" t="s">
        <v>313</v>
      </c>
      <c r="B43" s="373">
        <f>-PMT(B41/12,B42,B38)</f>
        <v>27.72987989269596</v>
      </c>
      <c r="C43" s="373"/>
      <c r="D43" s="373">
        <f>-PMT(D41/12,D42,D38)</f>
        <v>27.72987989269596</v>
      </c>
    </row>
    <row r="44" spans="2:4" ht="15">
      <c r="B44" s="373"/>
      <c r="C44" s="373"/>
      <c r="D44" s="373"/>
    </row>
    <row r="45" spans="1:4" ht="30">
      <c r="A45" s="382" t="s">
        <v>512</v>
      </c>
      <c r="B45" s="278" t="str">
        <f>B37</f>
        <v>               Media</v>
      </c>
      <c r="C45" s="278"/>
      <c r="D45" s="278" t="str">
        <f>D37</f>
        <v>               Media</v>
      </c>
    </row>
    <row r="46" spans="1:4" ht="15">
      <c r="A46" s="3" t="s">
        <v>168</v>
      </c>
      <c r="B46" s="373">
        <f>Simulatore!R12</f>
        <v>10876.408789950001</v>
      </c>
      <c r="C46" s="373"/>
      <c r="D46" s="373">
        <f>Simulatore!U12</f>
        <v>10163.566841607144</v>
      </c>
    </row>
    <row r="47" spans="1:5" ht="15">
      <c r="A47" s="3" t="s">
        <v>311</v>
      </c>
      <c r="B47" s="373">
        <f>B48-B46</f>
        <v>6350.667377235568</v>
      </c>
      <c r="C47" s="373"/>
      <c r="D47" s="373">
        <f>D48-D46</f>
        <v>5934.443401666624</v>
      </c>
      <c r="E47" s="373"/>
    </row>
    <row r="48" spans="1:4" ht="15">
      <c r="A48" s="3" t="s">
        <v>314</v>
      </c>
      <c r="B48" s="373">
        <f>B51*B50</f>
        <v>17227.07616718557</v>
      </c>
      <c r="C48" s="373"/>
      <c r="D48" s="373">
        <f>D51*D50</f>
        <v>16098.010243273768</v>
      </c>
    </row>
    <row r="49" spans="1:4" ht="15">
      <c r="A49" s="3" t="s">
        <v>312</v>
      </c>
      <c r="B49" s="330">
        <f>Simulatore!C81</f>
        <v>0.05</v>
      </c>
      <c r="C49" s="330"/>
      <c r="D49" s="330">
        <f>Simulatore!C80</f>
        <v>0.05</v>
      </c>
    </row>
    <row r="50" spans="1:4" ht="15">
      <c r="A50" s="3" t="s">
        <v>310</v>
      </c>
      <c r="B50" s="178">
        <f>B31</f>
        <v>240</v>
      </c>
      <c r="C50" s="178"/>
      <c r="D50" s="178">
        <f>D31</f>
        <v>240</v>
      </c>
    </row>
    <row r="51" spans="1:7" ht="15">
      <c r="A51" s="3" t="s">
        <v>313</v>
      </c>
      <c r="B51" s="373">
        <f>-PMT(B49/12,B50,B46)</f>
        <v>71.77948402993987</v>
      </c>
      <c r="C51" s="373"/>
      <c r="D51" s="373">
        <f>-PMT(D49/12,D50,D46)</f>
        <v>67.07504268030736</v>
      </c>
      <c r="G51" s="293"/>
    </row>
    <row r="52" spans="2:7" ht="15">
      <c r="B52" s="373"/>
      <c r="C52" s="373"/>
      <c r="D52" s="373"/>
      <c r="G52" s="293"/>
    </row>
    <row r="53" spans="1:4" ht="33" customHeight="1">
      <c r="A53" s="382" t="s">
        <v>513</v>
      </c>
      <c r="B53" s="278" t="str">
        <f>B37</f>
        <v>               Media</v>
      </c>
      <c r="C53" s="278"/>
      <c r="D53" s="278" t="str">
        <f>D37</f>
        <v>               Media</v>
      </c>
    </row>
    <row r="54" spans="1:4" ht="15">
      <c r="A54" s="3" t="s">
        <v>168</v>
      </c>
      <c r="B54" s="373">
        <f>Simulatore!R11</f>
        <v>27632</v>
      </c>
      <c r="C54" s="373"/>
      <c r="D54" s="373">
        <f>Simulatore!U11</f>
        <v>28942.4</v>
      </c>
    </row>
    <row r="55" spans="1:5" ht="15">
      <c r="A55" s="3" t="s">
        <v>311</v>
      </c>
      <c r="B55" s="373">
        <f>B56-B54</f>
        <v>19879.415218885515</v>
      </c>
      <c r="C55" s="373"/>
      <c r="D55" s="373">
        <f>D56-D54</f>
        <v>20822.162240557038</v>
      </c>
      <c r="E55" s="373"/>
    </row>
    <row r="56" spans="1:4" ht="15">
      <c r="A56" s="3" t="s">
        <v>314</v>
      </c>
      <c r="B56" s="373">
        <f>B59*B58</f>
        <v>47511.415218885515</v>
      </c>
      <c r="C56" s="373"/>
      <c r="D56" s="373">
        <f>D59*D58</f>
        <v>49764.56224055704</v>
      </c>
    </row>
    <row r="57" spans="1:4" ht="15">
      <c r="A57" s="3" t="s">
        <v>312</v>
      </c>
      <c r="B57" s="330">
        <f>B21</f>
        <v>0.06</v>
      </c>
      <c r="C57" s="330"/>
      <c r="D57" s="330">
        <f>D21</f>
        <v>0.06</v>
      </c>
    </row>
    <row r="58" spans="1:4" ht="15">
      <c r="A58" s="3" t="s">
        <v>310</v>
      </c>
      <c r="B58" s="178">
        <f>12*Simulatore!E29</f>
        <v>240</v>
      </c>
      <c r="C58" s="178"/>
      <c r="D58" s="178">
        <f>12*Simulatore!G29</f>
        <v>240</v>
      </c>
    </row>
    <row r="59" spans="1:4" ht="15">
      <c r="A59" s="3" t="s">
        <v>313</v>
      </c>
      <c r="B59" s="373">
        <f>-PMT(B57/12,B58,B54)</f>
        <v>197.96423007868964</v>
      </c>
      <c r="C59" s="373"/>
      <c r="D59" s="373">
        <f>-PMT(D57/12,D58,D54)</f>
        <v>207.35234266898766</v>
      </c>
    </row>
    <row r="60" spans="2:4" ht="15">
      <c r="B60" s="178"/>
      <c r="C60" s="178"/>
      <c r="D60" s="178"/>
    </row>
    <row r="61" spans="1:4" ht="30" customHeight="1">
      <c r="A61" s="382" t="s">
        <v>500</v>
      </c>
      <c r="B61" s="8" t="str">
        <f>B37</f>
        <v>               Media</v>
      </c>
      <c r="C61" s="8"/>
      <c r="D61" s="8" t="str">
        <f>D37</f>
        <v>               Media</v>
      </c>
    </row>
    <row r="62" spans="1:4" ht="15">
      <c r="A62" s="3" t="s">
        <v>168</v>
      </c>
      <c r="B62" s="373">
        <f>A!H34+A!H37+A!H38</f>
        <v>11359.807038021001</v>
      </c>
      <c r="C62" s="373"/>
      <c r="D62" s="373">
        <f>A!K34+A!K37+A!K38</f>
        <v>13484.84218725986</v>
      </c>
    </row>
    <row r="63" spans="1:4" ht="15">
      <c r="A63" s="3" t="s">
        <v>311</v>
      </c>
      <c r="B63" s="373">
        <f>B64-B62</f>
        <v>6632.92060470473</v>
      </c>
      <c r="C63" s="373"/>
      <c r="D63" s="373">
        <f>D64-D62</f>
        <v>7873.715398131408</v>
      </c>
    </row>
    <row r="64" spans="1:4" ht="15">
      <c r="A64" s="3" t="s">
        <v>314</v>
      </c>
      <c r="B64" s="373">
        <f>B67*B66</f>
        <v>17992.72764272573</v>
      </c>
      <c r="C64" s="373"/>
      <c r="D64" s="373">
        <f>D67*D66</f>
        <v>21358.557585391267</v>
      </c>
    </row>
    <row r="65" spans="1:4" ht="15">
      <c r="A65" s="3" t="s">
        <v>312</v>
      </c>
      <c r="B65" s="330">
        <f>B30</f>
        <v>0.05</v>
      </c>
      <c r="C65" s="330"/>
      <c r="D65" s="330">
        <f>D30</f>
        <v>0.05</v>
      </c>
    </row>
    <row r="66" spans="1:4" ht="15">
      <c r="A66" s="3" t="s">
        <v>310</v>
      </c>
      <c r="B66" s="178">
        <f>12*Simulatore!E29</f>
        <v>240</v>
      </c>
      <c r="C66" s="178"/>
      <c r="D66" s="178">
        <f>12*Simulatore!G29</f>
        <v>240</v>
      </c>
    </row>
    <row r="67" spans="1:4" ht="15">
      <c r="A67" s="3" t="s">
        <v>313</v>
      </c>
      <c r="B67" s="373">
        <f>-PMT(B65/12,B66,B62)</f>
        <v>74.96969851135721</v>
      </c>
      <c r="C67" s="373"/>
      <c r="D67" s="373">
        <f>-PMT(D65/12,D66,D62)</f>
        <v>88.99398993913027</v>
      </c>
    </row>
    <row r="68" spans="2:4" ht="15">
      <c r="B68" s="373"/>
      <c r="C68" s="373"/>
      <c r="D68" s="373"/>
    </row>
    <row r="69" spans="2:4" ht="15">
      <c r="B69" s="373"/>
      <c r="C69" s="373"/>
      <c r="D69" s="373"/>
    </row>
    <row r="70" spans="2:4" ht="15">
      <c r="B70" s="178"/>
      <c r="C70" s="178"/>
      <c r="D70" s="178"/>
    </row>
    <row r="71" spans="1:5" ht="21">
      <c r="A71" s="381" t="s">
        <v>499</v>
      </c>
      <c r="B71" s="276">
        <f>Simulatore!E27</f>
        <v>12</v>
      </c>
      <c r="C71" s="276"/>
      <c r="D71" s="276">
        <f>Simulatore!G27</f>
        <v>12</v>
      </c>
      <c r="E71" s="276"/>
    </row>
    <row r="73" spans="1:4" ht="18.75">
      <c r="A73" s="337" t="s">
        <v>502</v>
      </c>
      <c r="B73" s="178"/>
      <c r="C73" s="178"/>
      <c r="D73" s="178"/>
    </row>
    <row r="75" ht="15">
      <c r="A75" s="3" t="s">
        <v>507</v>
      </c>
    </row>
    <row r="76" spans="1:4" ht="15">
      <c r="A76" s="3" t="s">
        <v>168</v>
      </c>
      <c r="B76" s="373">
        <f>Simulatore!H10*B71</f>
        <v>19200</v>
      </c>
      <c r="C76" s="373"/>
      <c r="D76" s="373">
        <f>Simulatore!H10*D71</f>
        <v>19200</v>
      </c>
    </row>
    <row r="77" spans="1:4" ht="15">
      <c r="A77" s="3" t="s">
        <v>311</v>
      </c>
      <c r="B77" s="373">
        <f>B78-B76</f>
        <v>7780.306704957515</v>
      </c>
      <c r="C77" s="373"/>
      <c r="D77" s="373">
        <f>D78-D76</f>
        <v>7780.306704957515</v>
      </c>
    </row>
    <row r="78" spans="1:4" ht="15">
      <c r="A78" s="3" t="s">
        <v>314</v>
      </c>
      <c r="B78" s="373">
        <f>B81*B80</f>
        <v>26980.306704957515</v>
      </c>
      <c r="C78" s="373"/>
      <c r="D78" s="373">
        <f>D81*D80</f>
        <v>26980.306704957515</v>
      </c>
    </row>
    <row r="79" spans="1:4" ht="15">
      <c r="A79" s="3" t="s">
        <v>312</v>
      </c>
      <c r="B79" s="330">
        <f>B21</f>
        <v>0.06</v>
      </c>
      <c r="C79" s="330"/>
      <c r="D79" s="330">
        <f>D21</f>
        <v>0.06</v>
      </c>
    </row>
    <row r="80" spans="1:4" ht="15">
      <c r="A80" s="3" t="s">
        <v>310</v>
      </c>
      <c r="B80" s="178">
        <f>12*B71</f>
        <v>144</v>
      </c>
      <c r="C80" s="178"/>
      <c r="D80" s="178">
        <f>12*D71</f>
        <v>144</v>
      </c>
    </row>
    <row r="81" spans="1:4" ht="15">
      <c r="A81" s="3" t="s">
        <v>313</v>
      </c>
      <c r="B81" s="373">
        <f>-PMT(B79/12,B80,B76)</f>
        <v>187.36324100664942</v>
      </c>
      <c r="C81" s="373"/>
      <c r="D81" s="373">
        <f>-PMT(D79/12,D80,D76)</f>
        <v>187.36324100664942</v>
      </c>
    </row>
    <row r="83" spans="1:4" ht="15">
      <c r="A83" s="3" t="s">
        <v>383</v>
      </c>
      <c r="B83" s="278"/>
      <c r="C83" s="278"/>
      <c r="D83" s="278"/>
    </row>
    <row r="84" spans="1:4" ht="15">
      <c r="A84" s="3" t="s">
        <v>168</v>
      </c>
      <c r="B84" s="373">
        <f>E!W10*B71</f>
        <v>9356.050572</v>
      </c>
      <c r="C84" s="373"/>
      <c r="D84" s="373">
        <f>E!W10*D71</f>
        <v>9356.050572</v>
      </c>
    </row>
    <row r="85" spans="1:4" ht="15">
      <c r="A85" s="3" t="s">
        <v>311</v>
      </c>
      <c r="B85" s="373">
        <f>B86-B84</f>
        <v>3104.7323634012137</v>
      </c>
      <c r="C85" s="373"/>
      <c r="D85" s="373">
        <f>D86-D84</f>
        <v>3104.7323634012137</v>
      </c>
    </row>
    <row r="86" spans="1:4" ht="15">
      <c r="A86" s="3" t="s">
        <v>314</v>
      </c>
      <c r="B86" s="373">
        <f>B89*B88</f>
        <v>12460.782935401214</v>
      </c>
      <c r="C86" s="373"/>
      <c r="D86" s="373">
        <f>D89*D88</f>
        <v>12460.782935401214</v>
      </c>
    </row>
    <row r="87" spans="1:4" ht="15">
      <c r="A87" s="3" t="s">
        <v>312</v>
      </c>
      <c r="B87" s="330">
        <f>B30</f>
        <v>0.05</v>
      </c>
      <c r="C87" s="330"/>
      <c r="D87" s="330">
        <f>D30</f>
        <v>0.05</v>
      </c>
    </row>
    <row r="88" spans="1:4" ht="15">
      <c r="A88" s="3" t="s">
        <v>310</v>
      </c>
      <c r="B88" s="178">
        <f>12*B71</f>
        <v>144</v>
      </c>
      <c r="C88" s="178"/>
      <c r="D88" s="178">
        <f>12*D71</f>
        <v>144</v>
      </c>
    </row>
    <row r="89" spans="1:9" ht="15">
      <c r="A89" s="3" t="s">
        <v>313</v>
      </c>
      <c r="B89" s="373">
        <f>-PMT(B87/12,B88,B84)</f>
        <v>86.5332148291751</v>
      </c>
      <c r="C89" s="373"/>
      <c r="D89" s="373">
        <f>-PMT(D87/12,D88,D84)</f>
        <v>86.5332148291751</v>
      </c>
      <c r="I89" s="293"/>
    </row>
    <row r="91" ht="18.75">
      <c r="A91" s="337" t="s">
        <v>503</v>
      </c>
    </row>
    <row r="93" spans="1:4" ht="15">
      <c r="A93" s="3" t="s">
        <v>501</v>
      </c>
      <c r="B93" s="373">
        <f>Simulatore!R11</f>
        <v>27632</v>
      </c>
      <c r="C93" s="373"/>
      <c r="D93" s="373">
        <f>Simulatore!U11</f>
        <v>28942.4</v>
      </c>
    </row>
    <row r="94" spans="1:4" ht="15">
      <c r="A94" s="3" t="s">
        <v>168</v>
      </c>
      <c r="B94" s="373">
        <f>B93/Simulatore!E29*B71</f>
        <v>16579.199999999997</v>
      </c>
      <c r="C94" s="373"/>
      <c r="D94" s="373">
        <f>D93/Simulatore!G29*D71</f>
        <v>17365.440000000002</v>
      </c>
    </row>
    <row r="95" spans="1:4" ht="15">
      <c r="A95" s="3" t="s">
        <v>311</v>
      </c>
      <c r="B95" s="373">
        <f>B96-B94</f>
        <v>6718.294839730814</v>
      </c>
      <c r="C95" s="373"/>
      <c r="D95" s="373">
        <f>D96-D94</f>
        <v>7036.898399298829</v>
      </c>
    </row>
    <row r="96" spans="1:4" ht="15">
      <c r="A96" s="3" t="s">
        <v>314</v>
      </c>
      <c r="B96" s="373">
        <f>B99*B98</f>
        <v>23297.49483973081</v>
      </c>
      <c r="C96" s="373"/>
      <c r="D96" s="373">
        <f>D99*D98</f>
        <v>24402.33839929883</v>
      </c>
    </row>
    <row r="97" spans="1:4" ht="15">
      <c r="A97" s="3" t="s">
        <v>312</v>
      </c>
      <c r="B97" s="330">
        <f>B79</f>
        <v>0.06</v>
      </c>
      <c r="C97" s="330"/>
      <c r="D97" s="330">
        <f>D79</f>
        <v>0.06</v>
      </c>
    </row>
    <row r="98" spans="1:4" ht="15">
      <c r="A98" s="3" t="s">
        <v>310</v>
      </c>
      <c r="B98" s="178">
        <f>12*B71</f>
        <v>144</v>
      </c>
      <c r="C98" s="178"/>
      <c r="D98" s="178">
        <f>12*D71</f>
        <v>144</v>
      </c>
    </row>
    <row r="99" spans="1:4" ht="15">
      <c r="A99" s="3" t="s">
        <v>313</v>
      </c>
      <c r="B99" s="373">
        <f>-PMT(B97/12,B98,B94)</f>
        <v>161.78815860924175</v>
      </c>
      <c r="C99" s="373"/>
      <c r="D99" s="373">
        <f>-PMT(D97/12,D98,D94)</f>
        <v>169.4606833284641</v>
      </c>
    </row>
    <row r="101" spans="1:4" ht="15">
      <c r="A101" s="3" t="s">
        <v>506</v>
      </c>
      <c r="B101" s="373">
        <f>Simulatore!R12</f>
        <v>10876.408789950001</v>
      </c>
      <c r="C101" s="373"/>
      <c r="D101" s="373">
        <f>Simulatore!U12</f>
        <v>10163.566841607144</v>
      </c>
    </row>
    <row r="102" spans="1:4" ht="15">
      <c r="A102" s="3" t="s">
        <v>168</v>
      </c>
      <c r="B102" s="373">
        <f>B101/Simulatore!E29*B71</f>
        <v>6525.845273970001</v>
      </c>
      <c r="C102" s="373"/>
      <c r="D102" s="373">
        <f>D101/Simulatore!G29*D71</f>
        <v>6098.140104964286</v>
      </c>
    </row>
    <row r="103" spans="1:4" ht="15">
      <c r="A103" s="3" t="s">
        <v>311</v>
      </c>
      <c r="B103" s="373">
        <f>B104-B102</f>
        <v>2165.5508234723457</v>
      </c>
      <c r="C103" s="373"/>
      <c r="D103" s="373">
        <f>D104-D102</f>
        <v>2023.6202011454343</v>
      </c>
    </row>
    <row r="104" spans="1:4" ht="15">
      <c r="A104" s="3" t="s">
        <v>314</v>
      </c>
      <c r="B104" s="373">
        <f>B107*B106</f>
        <v>8691.396097442346</v>
      </c>
      <c r="C104" s="373"/>
      <c r="D104" s="373">
        <f>D107*D106</f>
        <v>8121.760306109721</v>
      </c>
    </row>
    <row r="105" spans="1:4" ht="15">
      <c r="A105" s="3" t="s">
        <v>312</v>
      </c>
      <c r="B105" s="330">
        <f>B87</f>
        <v>0.05</v>
      </c>
      <c r="C105" s="330"/>
      <c r="D105" s="330">
        <f>D87</f>
        <v>0.05</v>
      </c>
    </row>
    <row r="106" spans="1:4" ht="15">
      <c r="A106" s="3" t="s">
        <v>310</v>
      </c>
      <c r="B106" s="178">
        <f>12*B71</f>
        <v>144</v>
      </c>
      <c r="C106" s="178"/>
      <c r="D106" s="178">
        <f>12*D71</f>
        <v>144</v>
      </c>
    </row>
    <row r="107" spans="1:4" ht="15">
      <c r="A107" s="3" t="s">
        <v>313</v>
      </c>
      <c r="B107" s="373">
        <f>-PMT(B105/12,B106,B102)</f>
        <v>60.35691734334963</v>
      </c>
      <c r="C107" s="373"/>
      <c r="D107" s="373">
        <f>-PMT(D105/12,D106,D102)</f>
        <v>56.40111323687306</v>
      </c>
    </row>
    <row r="109" spans="1:4" ht="15">
      <c r="A109" s="3" t="s">
        <v>462</v>
      </c>
      <c r="B109" s="178"/>
      <c r="C109" s="178"/>
      <c r="D109" s="178"/>
    </row>
    <row r="110" spans="1:4" ht="15">
      <c r="A110" s="3" t="s">
        <v>168</v>
      </c>
      <c r="B110" s="373">
        <f>(A!$B$221+A!$C$221+A!$D$221)*A!G6*B71</f>
        <v>3000</v>
      </c>
      <c r="C110" s="373"/>
      <c r="D110" s="373">
        <f>(A!$B$221+A!$C$221+A!$D$221)*A!J6*D71</f>
        <v>3000</v>
      </c>
    </row>
    <row r="111" spans="1:4" ht="15">
      <c r="A111" s="3" t="s">
        <v>311</v>
      </c>
      <c r="B111" s="373">
        <f>B112-B110</f>
        <v>576.038498415584</v>
      </c>
      <c r="C111" s="373"/>
      <c r="D111" s="373">
        <f>D112-D110</f>
        <v>576.038498415584</v>
      </c>
    </row>
    <row r="112" spans="1:4" ht="15">
      <c r="A112" s="3" t="s">
        <v>314</v>
      </c>
      <c r="B112" s="373">
        <f>B115*B114</f>
        <v>3576.038498415584</v>
      </c>
      <c r="C112" s="373"/>
      <c r="D112" s="373">
        <f>D115*D114</f>
        <v>3576.038498415584</v>
      </c>
    </row>
    <row r="113" spans="1:4" ht="15">
      <c r="A113" s="3" t="s">
        <v>312</v>
      </c>
      <c r="B113" s="346">
        <f>B41</f>
        <v>0.03</v>
      </c>
      <c r="C113" s="330"/>
      <c r="D113" s="346">
        <f>D41</f>
        <v>0.03</v>
      </c>
    </row>
    <row r="114" spans="1:4" ht="15">
      <c r="A114" s="3" t="s">
        <v>310</v>
      </c>
      <c r="B114" s="178">
        <f>12*B71</f>
        <v>144</v>
      </c>
      <c r="C114" s="178"/>
      <c r="D114" s="178">
        <f>12*D71</f>
        <v>144</v>
      </c>
    </row>
    <row r="115" spans="1:4" ht="15">
      <c r="A115" s="3" t="s">
        <v>313</v>
      </c>
      <c r="B115" s="373">
        <f>-PMT(B113/12,B114,B110)</f>
        <v>24.833600683441556</v>
      </c>
      <c r="C115" s="373"/>
      <c r="D115" s="373">
        <f>-PMT(D113/12,D114,D110)</f>
        <v>24.833600683441556</v>
      </c>
    </row>
    <row r="117" ht="18.75">
      <c r="A117" s="337" t="s">
        <v>508</v>
      </c>
    </row>
    <row r="119" spans="1:4" ht="15">
      <c r="A119" s="3" t="s">
        <v>463</v>
      </c>
      <c r="B119" s="8"/>
      <c r="C119" s="8"/>
      <c r="D119" s="8"/>
    </row>
    <row r="120" spans="1:4" ht="15">
      <c r="A120" s="3" t="s">
        <v>168</v>
      </c>
      <c r="B120" s="373">
        <f>B62/Simulatore!E29*B71</f>
        <v>6815.884222812601</v>
      </c>
      <c r="C120" s="373"/>
      <c r="D120" s="373">
        <f>D62/Simulatore!G29*D71</f>
        <v>8090.905312355916</v>
      </c>
    </row>
    <row r="121" spans="1:4" ht="15">
      <c r="A121" s="3" t="s">
        <v>311</v>
      </c>
      <c r="B121" s="373">
        <f>B122-B120</f>
        <v>2261.797985048559</v>
      </c>
      <c r="C121" s="373"/>
      <c r="D121" s="373">
        <f>D122-D120</f>
        <v>2684.903782763159</v>
      </c>
    </row>
    <row r="122" spans="1:4" ht="15">
      <c r="A122" s="3" t="s">
        <v>314</v>
      </c>
      <c r="B122" s="373">
        <f>B125*B124</f>
        <v>9077.68220786116</v>
      </c>
      <c r="C122" s="373"/>
      <c r="D122" s="373">
        <f>D125*D124</f>
        <v>10775.809095119075</v>
      </c>
    </row>
    <row r="123" spans="1:4" ht="15">
      <c r="A123" s="3" t="s">
        <v>312</v>
      </c>
      <c r="B123" s="330">
        <f>B65</f>
        <v>0.05</v>
      </c>
      <c r="C123" s="330"/>
      <c r="D123" s="330">
        <f>D65</f>
        <v>0.05</v>
      </c>
    </row>
    <row r="124" spans="1:4" ht="15">
      <c r="A124" s="3" t="s">
        <v>310</v>
      </c>
      <c r="B124" s="178">
        <f>12*B71</f>
        <v>144</v>
      </c>
      <c r="C124" s="178"/>
      <c r="D124" s="178">
        <f>12*D71</f>
        <v>144</v>
      </c>
    </row>
    <row r="125" spans="1:4" ht="15">
      <c r="A125" s="3" t="s">
        <v>313</v>
      </c>
      <c r="B125" s="373">
        <f>-PMT(B123/12,B124,B120)</f>
        <v>63.03945977681361</v>
      </c>
      <c r="C125" s="373"/>
      <c r="D125" s="373">
        <f>-PMT(D123/12,D124,D120)</f>
        <v>74.83200760499358</v>
      </c>
    </row>
    <row r="136" spans="2:4" ht="15">
      <c r="B136" s="373"/>
      <c r="C136" s="373"/>
      <c r="D136" s="373"/>
    </row>
    <row r="137" spans="2:4" ht="15">
      <c r="B137" s="373"/>
      <c r="C137" s="373"/>
      <c r="D137" s="373"/>
    </row>
    <row r="138" spans="2:4" ht="15">
      <c r="B138" s="373"/>
      <c r="C138" s="373"/>
      <c r="D138" s="373"/>
    </row>
    <row r="139" spans="2:4" ht="15">
      <c r="B139" s="373"/>
      <c r="C139" s="373"/>
      <c r="D139" s="373"/>
    </row>
    <row r="140" spans="2:4" ht="15">
      <c r="B140" s="330"/>
      <c r="C140" s="330"/>
      <c r="D140" s="330"/>
    </row>
    <row r="141" spans="2:4" ht="15">
      <c r="B141" s="178"/>
      <c r="C141" s="178"/>
      <c r="D141" s="178"/>
    </row>
    <row r="142" spans="2:4" ht="15">
      <c r="B142" s="373"/>
      <c r="C142" s="373"/>
      <c r="D142" s="373"/>
    </row>
  </sheetData>
  <sheetProtection password="D412" sheet="1"/>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G98"/>
  <sheetViews>
    <sheetView showGridLines="0" showRowColHeaders="0" zoomScalePageLayoutView="0" workbookViewId="0" topLeftCell="A1">
      <selection activeCell="A1" sqref="A1"/>
    </sheetView>
  </sheetViews>
  <sheetFormatPr defaultColWidth="9.140625" defaultRowHeight="15"/>
  <cols>
    <col min="1" max="4" width="10.28125" style="3" customWidth="1"/>
    <col min="5" max="5" width="21.421875" style="3" customWidth="1"/>
    <col min="6" max="7" width="17.7109375" style="3" customWidth="1"/>
    <col min="8" max="8" width="22.140625" style="3" customWidth="1"/>
    <col min="9" max="9" width="17.7109375" style="3" customWidth="1"/>
    <col min="10" max="10" width="27.57421875" style="3" customWidth="1"/>
    <col min="11" max="11" width="20.8515625" style="3" customWidth="1"/>
    <col min="12" max="12" width="16.00390625" style="3" customWidth="1"/>
    <col min="13" max="14" width="9.140625" style="3" customWidth="1"/>
    <col min="15" max="15" width="9.28125" style="3" bestFit="1" customWidth="1"/>
    <col min="16" max="16384" width="9.140625" style="3" customWidth="1"/>
  </cols>
  <sheetData>
    <row r="1" spans="6:9" ht="15">
      <c r="F1" s="534" t="s">
        <v>316</v>
      </c>
      <c r="G1" s="534" t="s">
        <v>317</v>
      </c>
      <c r="H1" s="534" t="s">
        <v>318</v>
      </c>
      <c r="I1" s="534" t="s">
        <v>319</v>
      </c>
    </row>
    <row r="2" spans="5:7" ht="15">
      <c r="E2" s="3" t="s">
        <v>320</v>
      </c>
      <c r="F2" s="531">
        <f>G25</f>
        <v>5</v>
      </c>
      <c r="G2" s="531">
        <f>G61</f>
        <v>5</v>
      </c>
    </row>
    <row r="3" spans="5:7" ht="15">
      <c r="E3" s="3" t="s">
        <v>321</v>
      </c>
      <c r="F3" s="531">
        <f>J30+F8</f>
        <v>2218.128630535359</v>
      </c>
      <c r="G3" s="531">
        <f>J66+G8</f>
        <v>2218.128630535359</v>
      </c>
    </row>
    <row r="4" spans="5:7" ht="15">
      <c r="E4" s="3" t="s">
        <v>322</v>
      </c>
      <c r="F4" s="533">
        <f>F3*F2</f>
        <v>11090.643152676796</v>
      </c>
      <c r="G4" s="533">
        <f>G3*G2</f>
        <v>11090.643152676796</v>
      </c>
    </row>
    <row r="5" spans="6:7" ht="15">
      <c r="F5" s="531"/>
      <c r="G5" s="531"/>
    </row>
    <row r="6" spans="5:7" ht="15">
      <c r="E6" s="3" t="s">
        <v>323</v>
      </c>
      <c r="F6" s="531">
        <f>H25</f>
        <v>1868.0348460852138</v>
      </c>
      <c r="G6" s="531">
        <f>H61</f>
        <v>1868.0348460852138</v>
      </c>
    </row>
    <row r="7" spans="5:7" ht="15">
      <c r="E7" s="3" t="s">
        <v>324</v>
      </c>
      <c r="F7" s="531">
        <f>I25</f>
        <v>9340.17423042607</v>
      </c>
      <c r="G7" s="531">
        <f>I61</f>
        <v>9340.17423042607</v>
      </c>
    </row>
    <row r="8" spans="5:7" ht="15">
      <c r="E8" s="3" t="s">
        <v>325</v>
      </c>
      <c r="F8" s="531">
        <v>40</v>
      </c>
      <c r="G8" s="531">
        <v>40</v>
      </c>
    </row>
    <row r="9" spans="5:7" ht="15">
      <c r="E9" s="3" t="s">
        <v>326</v>
      </c>
      <c r="F9" s="531">
        <f>F8*F2</f>
        <v>200</v>
      </c>
      <c r="G9" s="531">
        <f>G8*G2</f>
        <v>200</v>
      </c>
    </row>
    <row r="10" spans="5:7" ht="15.75" customHeight="1">
      <c r="E10" s="3" t="s">
        <v>327</v>
      </c>
      <c r="F10" s="383">
        <f>F28</f>
        <v>112.08209076511282</v>
      </c>
      <c r="G10" s="531">
        <f>F64</f>
        <v>112.08209076511282</v>
      </c>
    </row>
    <row r="11" spans="5:12" s="4" customFormat="1" ht="15">
      <c r="E11" s="3" t="s">
        <v>328</v>
      </c>
      <c r="F11" s="384">
        <f>F10*F2</f>
        <v>560.4104538255641</v>
      </c>
      <c r="G11" s="383">
        <f>G10*G2</f>
        <v>560.4104538255641</v>
      </c>
      <c r="I11" s="385"/>
      <c r="J11" s="386"/>
      <c r="K11" s="5"/>
      <c r="L11" s="5"/>
    </row>
    <row r="12" spans="5:12" s="4" customFormat="1" ht="21.75" customHeight="1">
      <c r="E12" s="5"/>
      <c r="I12" s="386"/>
      <c r="J12" s="386"/>
      <c r="K12" s="5"/>
      <c r="L12" s="5"/>
    </row>
    <row r="13" spans="1:9" ht="14.25" customHeight="1">
      <c r="A13" s="6"/>
      <c r="I13" s="4"/>
    </row>
    <row r="14" ht="27" customHeight="1">
      <c r="A14" s="6"/>
    </row>
    <row r="15" ht="15">
      <c r="A15" s="6">
        <f>B15-E15</f>
        <v>0</v>
      </c>
    </row>
    <row r="16" spans="1:7" ht="15">
      <c r="A16" s="6">
        <f>B16-E16</f>
        <v>0</v>
      </c>
      <c r="E16" s="404"/>
      <c r="F16" s="398" t="s">
        <v>723</v>
      </c>
      <c r="G16" s="386"/>
    </row>
    <row r="17" spans="2:33" ht="15">
      <c r="B17" s="4"/>
      <c r="C17" s="4"/>
      <c r="D17" s="4"/>
      <c r="E17" s="4"/>
      <c r="F17" s="398"/>
      <c r="G17" s="4"/>
      <c r="H17" s="4"/>
      <c r="I17" s="4"/>
      <c r="J17" s="386"/>
      <c r="K17" s="386"/>
      <c r="L17" s="5"/>
      <c r="M17" s="5"/>
      <c r="N17" s="4"/>
      <c r="O17" s="4"/>
      <c r="P17" s="4"/>
      <c r="Q17" s="4"/>
      <c r="R17" s="4"/>
      <c r="S17" s="4"/>
      <c r="T17" s="4"/>
      <c r="U17" s="4"/>
      <c r="V17" s="4"/>
      <c r="W17" s="4"/>
      <c r="X17" s="4"/>
      <c r="Y17" s="4"/>
      <c r="Z17" s="4"/>
      <c r="AA17" s="4"/>
      <c r="AB17" s="4"/>
      <c r="AC17" s="4"/>
      <c r="AD17" s="4"/>
      <c r="AE17" s="4"/>
      <c r="AF17" s="4"/>
      <c r="AG17" s="4"/>
    </row>
    <row r="18" spans="2:33" ht="15">
      <c r="B18" s="4"/>
      <c r="C18" s="4"/>
      <c r="D18" s="4"/>
      <c r="E18" s="4"/>
      <c r="F18" s="530"/>
      <c r="G18" s="386"/>
      <c r="H18" s="5"/>
      <c r="I18" s="405"/>
      <c r="J18" s="386"/>
      <c r="K18" s="386"/>
      <c r="L18" s="5"/>
      <c r="M18" s="5"/>
      <c r="N18" s="4"/>
      <c r="O18" s="4"/>
      <c r="P18" s="4"/>
      <c r="Q18" s="4"/>
      <c r="R18" s="4"/>
      <c r="S18" s="4"/>
      <c r="T18" s="4"/>
      <c r="U18" s="4"/>
      <c r="V18" s="4"/>
      <c r="W18" s="4"/>
      <c r="X18" s="4"/>
      <c r="Y18" s="4"/>
      <c r="Z18" s="4"/>
      <c r="AA18" s="4"/>
      <c r="AB18" s="4"/>
      <c r="AC18" s="4"/>
      <c r="AD18" s="4"/>
      <c r="AE18" s="4"/>
      <c r="AF18" s="4"/>
      <c r="AG18" s="4"/>
    </row>
    <row r="19" spans="2:33" ht="15">
      <c r="B19" s="4"/>
      <c r="C19" s="4"/>
      <c r="D19" s="387"/>
      <c r="E19" s="387"/>
      <c r="F19" s="739" t="s">
        <v>742</v>
      </c>
      <c r="G19" s="740"/>
      <c r="H19" s="741" t="s">
        <v>743</v>
      </c>
      <c r="I19" s="742"/>
      <c r="J19" s="742"/>
      <c r="K19" s="742"/>
      <c r="L19" s="5"/>
      <c r="M19" s="5"/>
      <c r="N19" s="4"/>
      <c r="O19" s="4"/>
      <c r="P19" s="4"/>
      <c r="Q19" s="4"/>
      <c r="R19" s="4"/>
      <c r="S19" s="4"/>
      <c r="T19" s="4"/>
      <c r="U19" s="4"/>
      <c r="V19" s="4"/>
      <c r="W19" s="4"/>
      <c r="X19" s="4"/>
      <c r="Y19" s="4"/>
      <c r="Z19" s="4"/>
      <c r="AA19" s="4"/>
      <c r="AB19" s="4"/>
      <c r="AC19" s="4"/>
      <c r="AD19" s="4"/>
      <c r="AE19" s="4"/>
      <c r="AF19" s="4"/>
      <c r="AG19" s="4"/>
    </row>
    <row r="20" spans="1:33" ht="15">
      <c r="A20" s="388"/>
      <c r="B20" s="388"/>
      <c r="C20" s="4"/>
      <c r="D20" s="389"/>
      <c r="E20" s="390"/>
      <c r="F20" s="740"/>
      <c r="G20" s="740"/>
      <c r="H20" s="742"/>
      <c r="I20" s="742"/>
      <c r="J20" s="742"/>
      <c r="K20" s="742"/>
      <c r="L20" s="5"/>
      <c r="M20" s="5"/>
      <c r="N20" s="4"/>
      <c r="O20" s="4"/>
      <c r="P20" s="4"/>
      <c r="Q20" s="4"/>
      <c r="R20" s="4"/>
      <c r="S20" s="4"/>
      <c r="T20" s="4"/>
      <c r="U20" s="4"/>
      <c r="V20" s="4"/>
      <c r="W20" s="4"/>
      <c r="X20" s="4"/>
      <c r="Y20" s="4"/>
      <c r="Z20" s="4"/>
      <c r="AA20" s="4"/>
      <c r="AB20" s="4"/>
      <c r="AC20" s="4"/>
      <c r="AD20" s="4"/>
      <c r="AE20" s="4"/>
      <c r="AF20" s="4"/>
      <c r="AG20" s="4"/>
    </row>
    <row r="21" spans="2:33" ht="15">
      <c r="B21" s="4"/>
      <c r="C21" s="4"/>
      <c r="D21" s="391"/>
      <c r="E21" s="390"/>
      <c r="F21" s="740"/>
      <c r="G21" s="740"/>
      <c r="H21" s="742"/>
      <c r="I21" s="742"/>
      <c r="J21" s="742"/>
      <c r="K21" s="742"/>
      <c r="L21" s="5"/>
      <c r="M21" s="5"/>
      <c r="N21" s="4"/>
      <c r="O21" s="4"/>
      <c r="P21" s="4"/>
      <c r="Q21" s="4"/>
      <c r="R21" s="4"/>
      <c r="S21" s="4"/>
      <c r="T21" s="4"/>
      <c r="U21" s="4"/>
      <c r="V21" s="4"/>
      <c r="W21" s="4"/>
      <c r="X21" s="4"/>
      <c r="Y21" s="4"/>
      <c r="Z21" s="4"/>
      <c r="AA21" s="4"/>
      <c r="AB21" s="4"/>
      <c r="AC21" s="4"/>
      <c r="AD21" s="4"/>
      <c r="AE21" s="4"/>
      <c r="AF21" s="4"/>
      <c r="AG21" s="4"/>
    </row>
    <row r="22" spans="2:33" ht="15">
      <c r="B22" s="4"/>
      <c r="C22" s="4"/>
      <c r="D22" s="5"/>
      <c r="E22" s="5"/>
      <c r="F22" s="740"/>
      <c r="G22" s="740"/>
      <c r="H22" s="742"/>
      <c r="I22" s="742"/>
      <c r="J22" s="742"/>
      <c r="K22" s="742"/>
      <c r="L22" s="399"/>
      <c r="M22" s="399"/>
      <c r="N22" s="4"/>
      <c r="O22" s="4"/>
      <c r="P22" s="4"/>
      <c r="Q22" s="4"/>
      <c r="R22" s="4"/>
      <c r="S22" s="4"/>
      <c r="T22" s="4"/>
      <c r="U22" s="4"/>
      <c r="V22" s="4"/>
      <c r="W22" s="4"/>
      <c r="X22" s="4"/>
      <c r="Y22" s="4"/>
      <c r="Z22" s="4"/>
      <c r="AA22" s="4"/>
      <c r="AB22" s="4"/>
      <c r="AC22" s="4"/>
      <c r="AD22" s="4"/>
      <c r="AE22" s="4"/>
      <c r="AF22" s="4"/>
      <c r="AG22" s="4"/>
    </row>
    <row r="23" spans="2:33" ht="15">
      <c r="B23" s="4"/>
      <c r="C23" s="4"/>
      <c r="D23" s="392"/>
      <c r="E23" s="392"/>
      <c r="F23" s="743"/>
      <c r="G23" s="744"/>
      <c r="H23" s="742"/>
      <c r="I23" s="742"/>
      <c r="J23" s="742"/>
      <c r="K23" s="742"/>
      <c r="L23" s="5"/>
      <c r="M23" s="5"/>
      <c r="N23" s="4"/>
      <c r="O23" s="4"/>
      <c r="P23" s="4"/>
      <c r="Q23" s="4"/>
      <c r="R23" s="4"/>
      <c r="S23" s="4"/>
      <c r="T23" s="4"/>
      <c r="U23" s="4"/>
      <c r="V23" s="4"/>
      <c r="W23" s="4"/>
      <c r="X23" s="4"/>
      <c r="Y23" s="4"/>
      <c r="Z23" s="4"/>
      <c r="AA23" s="4"/>
      <c r="AB23" s="4"/>
      <c r="AC23" s="4"/>
      <c r="AD23" s="4"/>
      <c r="AE23" s="4"/>
      <c r="AF23" s="4"/>
      <c r="AG23" s="4"/>
    </row>
    <row r="24" spans="2:33" ht="39.75" customHeight="1">
      <c r="B24" s="4"/>
      <c r="C24" s="4"/>
      <c r="D24" s="384"/>
      <c r="E24" s="4"/>
      <c r="F24" s="406" t="s">
        <v>37</v>
      </c>
      <c r="G24" s="407" t="s">
        <v>38</v>
      </c>
      <c r="H24" s="407" t="s">
        <v>39</v>
      </c>
      <c r="I24" s="407" t="s">
        <v>40</v>
      </c>
      <c r="J24" s="407" t="s">
        <v>724</v>
      </c>
      <c r="K24" s="407" t="s">
        <v>725</v>
      </c>
      <c r="L24" s="408"/>
      <c r="M24" s="4"/>
      <c r="N24" s="4"/>
      <c r="O24" s="4"/>
      <c r="P24" s="4"/>
      <c r="Q24" s="4"/>
      <c r="R24" s="4"/>
      <c r="S24" s="4"/>
      <c r="T24" s="4"/>
      <c r="U24" s="4"/>
      <c r="V24" s="4"/>
      <c r="W24" s="4"/>
      <c r="X24" s="4"/>
      <c r="Y24" s="4"/>
      <c r="Z24" s="4"/>
      <c r="AA24" s="4"/>
      <c r="AB24" s="4"/>
      <c r="AC24" s="4"/>
      <c r="AD24" s="4"/>
      <c r="AE24" s="4"/>
      <c r="AF24" s="4"/>
      <c r="AG24" s="4"/>
    </row>
    <row r="25" spans="2:33" ht="15">
      <c r="B25" s="4"/>
      <c r="C25" s="4"/>
      <c r="D25" s="404"/>
      <c r="E25" s="4"/>
      <c r="F25" s="409">
        <v>0</v>
      </c>
      <c r="G25" s="400">
        <f>Simulatore!E16</f>
        <v>5</v>
      </c>
      <c r="H25" s="400">
        <f>IF(G25&lt;=6,B30,C30)</f>
        <v>1868.0348460852138</v>
      </c>
      <c r="I25" s="410">
        <f>H25*G25</f>
        <v>9340.17423042607</v>
      </c>
      <c r="J25" s="411">
        <f>(F28*1.1)+F25</f>
        <v>123.29029984162412</v>
      </c>
      <c r="K25" s="411">
        <f>J25*G25</f>
        <v>616.4514992081206</v>
      </c>
      <c r="L25" s="408"/>
      <c r="M25" s="383"/>
      <c r="N25" s="4"/>
      <c r="O25" s="4"/>
      <c r="P25" s="4"/>
      <c r="Q25" s="4"/>
      <c r="R25" s="4"/>
      <c r="S25" s="4"/>
      <c r="T25" s="4"/>
      <c r="U25" s="4"/>
      <c r="V25" s="4"/>
      <c r="W25" s="4"/>
      <c r="X25" s="4"/>
      <c r="Y25" s="4"/>
      <c r="Z25" s="4"/>
      <c r="AA25" s="4"/>
      <c r="AB25" s="4"/>
      <c r="AC25" s="4"/>
      <c r="AD25" s="4"/>
      <c r="AE25" s="4"/>
      <c r="AF25" s="4"/>
      <c r="AG25" s="4"/>
    </row>
    <row r="26" spans="2:33" ht="25.5">
      <c r="B26" s="4"/>
      <c r="C26" s="393"/>
      <c r="D26" s="393"/>
      <c r="E26" s="412">
        <f>E28+D28</f>
        <v>0.06</v>
      </c>
      <c r="F26" s="738" t="s">
        <v>41</v>
      </c>
      <c r="G26" s="413" t="s">
        <v>726</v>
      </c>
      <c r="H26" s="410"/>
      <c r="I26" s="536"/>
      <c r="J26" s="536"/>
      <c r="K26" s="414"/>
      <c r="L26" s="408"/>
      <c r="M26" s="4"/>
      <c r="N26" s="4"/>
      <c r="O26" s="4"/>
      <c r="P26" s="4"/>
      <c r="Q26" s="4"/>
      <c r="R26" s="4"/>
      <c r="S26" s="4"/>
      <c r="T26" s="4"/>
      <c r="U26" s="4"/>
      <c r="V26" s="4"/>
      <c r="W26" s="4"/>
      <c r="X26" s="4"/>
      <c r="Y26" s="4"/>
      <c r="Z26" s="4"/>
      <c r="AA26" s="4"/>
      <c r="AB26" s="4"/>
      <c r="AC26" s="4"/>
      <c r="AD26" s="4"/>
      <c r="AE26" s="4"/>
      <c r="AF26" s="4"/>
      <c r="AG26" s="4"/>
    </row>
    <row r="27" spans="2:33" ht="15">
      <c r="B27" s="4"/>
      <c r="C27" s="4"/>
      <c r="D27" s="393">
        <f>Simulatore!AQ16</f>
        <v>0.06</v>
      </c>
      <c r="E27" s="412">
        <f>E29+D28</f>
        <v>0.06108441993929574</v>
      </c>
      <c r="F27" s="695"/>
      <c r="G27" s="413" t="s">
        <v>727</v>
      </c>
      <c r="H27" s="415">
        <f>Simulatore!C91+Simulatore!AO16-154</f>
        <v>-154</v>
      </c>
      <c r="I27" s="536"/>
      <c r="J27" s="416"/>
      <c r="K27" s="536"/>
      <c r="L27" s="408"/>
      <c r="M27" s="4"/>
      <c r="N27" s="4"/>
      <c r="O27" s="4"/>
      <c r="P27" s="4"/>
      <c r="Q27" s="4"/>
      <c r="R27" s="4"/>
      <c r="S27" s="4"/>
      <c r="T27" s="4"/>
      <c r="U27" s="4"/>
      <c r="V27" s="4"/>
      <c r="W27" s="4"/>
      <c r="X27" s="4"/>
      <c r="Y27" s="4"/>
      <c r="Z27" s="4"/>
      <c r="AA27" s="4"/>
      <c r="AB27" s="4"/>
      <c r="AC27" s="4"/>
      <c r="AD27" s="4"/>
      <c r="AE27" s="4"/>
      <c r="AF27" s="4"/>
      <c r="AG27" s="4"/>
    </row>
    <row r="28" spans="2:33" ht="48.75" customHeight="1">
      <c r="B28" s="4"/>
      <c r="C28" s="394"/>
      <c r="D28" s="393">
        <f>D27-E28</f>
        <v>0</v>
      </c>
      <c r="E28" s="417">
        <v>0.06</v>
      </c>
      <c r="F28" s="418">
        <f>H25*F29</f>
        <v>112.08209076511282</v>
      </c>
      <c r="G28" s="536"/>
      <c r="H28" s="536"/>
      <c r="I28" s="536"/>
      <c r="J28" s="416"/>
      <c r="K28" s="536"/>
      <c r="L28" s="408"/>
      <c r="M28" s="383"/>
      <c r="N28" s="356">
        <v>1</v>
      </c>
      <c r="O28" s="529"/>
      <c r="P28" s="356">
        <f>VLOOKUP(N28,$N$29:$P$31,3,)</f>
        <v>0</v>
      </c>
      <c r="Q28" s="4"/>
      <c r="R28" s="4"/>
      <c r="S28" s="4"/>
      <c r="T28" s="4"/>
      <c r="U28" s="4"/>
      <c r="V28" s="4"/>
      <c r="W28" s="4"/>
      <c r="X28" s="4"/>
      <c r="Y28" s="4"/>
      <c r="Z28" s="4"/>
      <c r="AA28" s="4"/>
      <c r="AB28" s="4"/>
      <c r="AC28" s="4"/>
      <c r="AD28" s="4"/>
      <c r="AE28" s="4"/>
      <c r="AF28" s="4"/>
      <c r="AG28" s="4"/>
    </row>
    <row r="29" spans="2:33" ht="39.75" customHeight="1">
      <c r="B29" s="4">
        <v>450</v>
      </c>
      <c r="C29" s="394">
        <f>450/G25</f>
        <v>90</v>
      </c>
      <c r="D29" s="383"/>
      <c r="E29" s="417">
        <f>(3540+0.7*G25-700*LOG(G25))*2/100000</f>
        <v>0.06108441993929574</v>
      </c>
      <c r="F29" s="419">
        <f>IF(G25&lt;=6,E26,E27)</f>
        <v>0.06</v>
      </c>
      <c r="G29" s="407"/>
      <c r="H29" s="407" t="s">
        <v>42</v>
      </c>
      <c r="I29" s="407" t="s">
        <v>43</v>
      </c>
      <c r="J29" s="420" t="s">
        <v>44</v>
      </c>
      <c r="K29" s="420" t="s">
        <v>45</v>
      </c>
      <c r="L29" s="408"/>
      <c r="M29" s="383"/>
      <c r="N29" s="356"/>
      <c r="O29" s="401" t="s">
        <v>728</v>
      </c>
      <c r="P29" s="356"/>
      <c r="Q29" s="4"/>
      <c r="R29" s="4"/>
      <c r="S29" s="4"/>
      <c r="T29" s="4"/>
      <c r="U29" s="4"/>
      <c r="V29" s="4"/>
      <c r="W29" s="4"/>
      <c r="X29" s="4"/>
      <c r="Y29" s="4"/>
      <c r="Z29" s="4"/>
      <c r="AA29" s="4"/>
      <c r="AB29" s="4"/>
      <c r="AC29" s="4"/>
      <c r="AD29" s="4"/>
      <c r="AE29" s="4"/>
      <c r="AF29" s="4"/>
      <c r="AG29" s="4"/>
    </row>
    <row r="30" spans="2:33" ht="18">
      <c r="B30" s="394">
        <f>2330.7-552*0.8*LOG(G25)+H27+P28</f>
        <v>1868.0348460852138</v>
      </c>
      <c r="C30" s="394">
        <f>B30+C29</f>
        <v>1958.0348460852138</v>
      </c>
      <c r="D30" s="383"/>
      <c r="E30" s="404"/>
      <c r="F30" s="410"/>
      <c r="G30" s="403"/>
      <c r="H30" s="410">
        <f>H25+F28</f>
        <v>1980.1169368503265</v>
      </c>
      <c r="I30" s="410">
        <f>H30*G25</f>
        <v>9900.584684251633</v>
      </c>
      <c r="J30" s="411">
        <f>IF(Simulatore!E16=0,0,J31)</f>
        <v>2178.128630535359</v>
      </c>
      <c r="K30" s="421">
        <f>J30*G25</f>
        <v>10890.643152676796</v>
      </c>
      <c r="L30" s="408"/>
      <c r="M30" s="383"/>
      <c r="N30" s="356">
        <v>1</v>
      </c>
      <c r="O30" s="402" t="s">
        <v>729</v>
      </c>
      <c r="P30" s="356">
        <v>0</v>
      </c>
      <c r="Q30" s="4"/>
      <c r="R30" s="4"/>
      <c r="S30" s="4"/>
      <c r="T30" s="4"/>
      <c r="U30" s="4"/>
      <c r="V30" s="4"/>
      <c r="W30" s="4"/>
      <c r="X30" s="4"/>
      <c r="Y30" s="4"/>
      <c r="Z30" s="4"/>
      <c r="AA30" s="4"/>
      <c r="AB30" s="4"/>
      <c r="AC30" s="4"/>
      <c r="AD30" s="4"/>
      <c r="AE30" s="4"/>
      <c r="AF30" s="4"/>
      <c r="AG30" s="4"/>
    </row>
    <row r="31" spans="2:33" ht="15.75">
      <c r="B31" s="4"/>
      <c r="C31" s="4"/>
      <c r="D31" s="334"/>
      <c r="E31" s="4"/>
      <c r="F31" s="422"/>
      <c r="G31" s="4"/>
      <c r="H31" s="4"/>
      <c r="I31" s="4"/>
      <c r="J31" s="4">
        <f>H30*1.1</f>
        <v>2178.128630535359</v>
      </c>
      <c r="K31" s="4"/>
      <c r="L31" s="4"/>
      <c r="M31" s="422"/>
      <c r="N31" s="356">
        <v>2</v>
      </c>
      <c r="O31" s="402" t="s">
        <v>730</v>
      </c>
      <c r="P31" s="356">
        <v>450</v>
      </c>
      <c r="Q31" s="4"/>
      <c r="R31" s="4"/>
      <c r="S31" s="4"/>
      <c r="T31" s="4"/>
      <c r="U31" s="4"/>
      <c r="V31" s="4"/>
      <c r="W31" s="4"/>
      <c r="X31" s="4"/>
      <c r="Y31" s="4"/>
      <c r="Z31" s="4"/>
      <c r="AA31" s="4"/>
      <c r="AB31" s="4"/>
      <c r="AC31" s="4"/>
      <c r="AD31" s="4"/>
      <c r="AE31" s="4"/>
      <c r="AF31" s="4"/>
      <c r="AG31" s="4"/>
    </row>
    <row r="32" spans="8:10" ht="15">
      <c r="H32" s="3">
        <f>(D30+(D30*F29))/100*110</f>
        <v>0</v>
      </c>
      <c r="I32" s="3">
        <f>H32*G25</f>
        <v>0</v>
      </c>
      <c r="J32" s="3">
        <f>I32+(G25*32)</f>
        <v>160</v>
      </c>
    </row>
    <row r="34" spans="3:13" ht="15">
      <c r="C34" s="395">
        <v>40878</v>
      </c>
      <c r="F34" s="423">
        <v>40909</v>
      </c>
      <c r="G34" s="532" t="s">
        <v>8</v>
      </c>
      <c r="H34" s="532" t="s">
        <v>9</v>
      </c>
      <c r="I34" s="532" t="s">
        <v>7</v>
      </c>
      <c r="J34" s="532"/>
      <c r="K34" s="532"/>
      <c r="M34" s="532"/>
    </row>
    <row r="35" spans="2:13" ht="15">
      <c r="B35" s="6">
        <f>C35-F35</f>
        <v>292.4835757814685</v>
      </c>
      <c r="C35" s="3">
        <v>2622.4835757814685</v>
      </c>
      <c r="D35" s="6">
        <f aca="true" t="shared" si="0" ref="D35:D45">E35-F35</f>
        <v>-132</v>
      </c>
      <c r="E35" s="6">
        <v>2198</v>
      </c>
      <c r="F35" s="7">
        <v>2330</v>
      </c>
      <c r="G35" s="7">
        <v>2</v>
      </c>
      <c r="H35" s="6">
        <f aca="true" t="shared" si="1" ref="H35:H45">LOG(G35)</f>
        <v>0.3010299956639812</v>
      </c>
      <c r="I35" s="424">
        <f aca="true" t="shared" si="2" ref="I35:I45">1/G35</f>
        <v>0.5</v>
      </c>
      <c r="J35" s="6"/>
      <c r="K35" s="425"/>
      <c r="L35" s="425"/>
      <c r="M35" s="286"/>
    </row>
    <row r="36" spans="2:17" ht="15">
      <c r="B36" s="6">
        <f>C36-F36</f>
        <v>375.4835757814685</v>
      </c>
      <c r="C36" s="3">
        <v>2622.4835757814685</v>
      </c>
      <c r="D36" s="6">
        <f t="shared" si="0"/>
        <v>-127</v>
      </c>
      <c r="E36" s="6">
        <v>2120</v>
      </c>
      <c r="F36" s="7">
        <v>2247</v>
      </c>
      <c r="G36" s="7">
        <v>3</v>
      </c>
      <c r="H36" s="6">
        <f t="shared" si="1"/>
        <v>0.47712125471966244</v>
      </c>
      <c r="I36" s="424">
        <f t="shared" si="2"/>
        <v>0.3333333333333333</v>
      </c>
      <c r="J36" s="6"/>
      <c r="K36" s="425"/>
      <c r="L36" s="425"/>
      <c r="M36" s="286"/>
      <c r="P36" s="396"/>
      <c r="Q36" s="396"/>
    </row>
    <row r="37" spans="2:17" ht="15">
      <c r="B37" s="6">
        <f>C37-F37</f>
        <v>457.4835757814685</v>
      </c>
      <c r="C37" s="3">
        <v>2622.4835757814685</v>
      </c>
      <c r="D37" s="6">
        <f t="shared" si="0"/>
        <v>-123</v>
      </c>
      <c r="E37" s="6">
        <v>2042</v>
      </c>
      <c r="F37" s="7">
        <v>2165</v>
      </c>
      <c r="G37" s="7">
        <v>4.5</v>
      </c>
      <c r="H37" s="6">
        <f t="shared" si="1"/>
        <v>0.6532125137753437</v>
      </c>
      <c r="I37" s="424">
        <f t="shared" si="2"/>
        <v>0.2222222222222222</v>
      </c>
      <c r="J37" s="6"/>
      <c r="K37" s="425"/>
      <c r="L37" s="425"/>
      <c r="M37" s="286"/>
      <c r="P37" s="529"/>
      <c r="Q37" s="529"/>
    </row>
    <row r="38" spans="2:17" ht="15">
      <c r="B38" s="6">
        <f>C38-F38</f>
        <v>516.4835757814685</v>
      </c>
      <c r="C38" s="3">
        <v>2622.4835757814685</v>
      </c>
      <c r="D38" s="6">
        <f t="shared" si="0"/>
        <v>-119</v>
      </c>
      <c r="E38" s="6">
        <v>1987</v>
      </c>
      <c r="F38" s="7">
        <v>2106</v>
      </c>
      <c r="G38" s="7">
        <v>6</v>
      </c>
      <c r="H38" s="6">
        <f t="shared" si="1"/>
        <v>0.7781512503836436</v>
      </c>
      <c r="I38" s="424">
        <f t="shared" si="2"/>
        <v>0.16666666666666666</v>
      </c>
      <c r="J38" s="6"/>
      <c r="K38" s="425"/>
      <c r="L38" s="425"/>
      <c r="M38" s="286"/>
      <c r="P38" s="529"/>
      <c r="Q38" s="529"/>
    </row>
    <row r="39" spans="2:17" ht="15">
      <c r="B39" s="6">
        <f>C39-F39</f>
        <v>429.0181818181818</v>
      </c>
      <c r="C39" s="3">
        <v>2469.018181818182</v>
      </c>
      <c r="D39" s="6">
        <f t="shared" si="0"/>
        <v>-106</v>
      </c>
      <c r="E39" s="6">
        <v>1934</v>
      </c>
      <c r="F39" s="7">
        <v>2040</v>
      </c>
      <c r="G39" s="7">
        <v>10</v>
      </c>
      <c r="H39" s="6">
        <f t="shared" si="1"/>
        <v>1</v>
      </c>
      <c r="I39" s="424">
        <f t="shared" si="2"/>
        <v>0.1</v>
      </c>
      <c r="J39" s="6"/>
      <c r="K39" s="425"/>
      <c r="L39" s="425"/>
      <c r="M39" s="286"/>
      <c r="P39" s="529"/>
      <c r="Q39" s="529"/>
    </row>
    <row r="40" spans="2:17" ht="15">
      <c r="B40" s="6"/>
      <c r="D40" s="6">
        <f t="shared" si="0"/>
        <v>-98</v>
      </c>
      <c r="E40" s="6">
        <v>1841</v>
      </c>
      <c r="F40" s="7">
        <v>1939</v>
      </c>
      <c r="G40" s="7">
        <v>15</v>
      </c>
      <c r="H40" s="6">
        <f t="shared" si="1"/>
        <v>1.1760912590556813</v>
      </c>
      <c r="I40" s="424">
        <f t="shared" si="2"/>
        <v>0.06666666666666667</v>
      </c>
      <c r="J40" s="6"/>
      <c r="K40" s="425"/>
      <c r="L40" s="425"/>
      <c r="M40" s="286"/>
      <c r="P40" s="529"/>
      <c r="Q40" s="529"/>
    </row>
    <row r="41" spans="2:17" ht="15">
      <c r="B41" s="6">
        <f>C41-F41</f>
        <v>499.9978992871088</v>
      </c>
      <c r="C41" s="3">
        <v>2369.997899287109</v>
      </c>
      <c r="D41" s="6">
        <f t="shared" si="0"/>
        <v>-91</v>
      </c>
      <c r="E41" s="6">
        <v>1779</v>
      </c>
      <c r="F41" s="7">
        <v>1870</v>
      </c>
      <c r="G41" s="7">
        <v>20</v>
      </c>
      <c r="H41" s="6">
        <f t="shared" si="1"/>
        <v>1.3010299956639813</v>
      </c>
      <c r="I41" s="424">
        <f t="shared" si="2"/>
        <v>0.05</v>
      </c>
      <c r="J41" s="6"/>
      <c r="K41" s="425"/>
      <c r="L41" s="425"/>
      <c r="M41" s="286"/>
      <c r="P41" s="529"/>
      <c r="Q41" s="529"/>
    </row>
    <row r="42" spans="2:17" ht="15">
      <c r="B42" s="6">
        <f>C42-F42</f>
        <v>605.6065552583459</v>
      </c>
      <c r="C42" s="3">
        <v>2268.606555258346</v>
      </c>
      <c r="D42" s="6">
        <f t="shared" si="0"/>
        <v>-103</v>
      </c>
      <c r="E42" s="6">
        <v>1560</v>
      </c>
      <c r="F42" s="7">
        <v>1663</v>
      </c>
      <c r="G42" s="7">
        <v>50</v>
      </c>
      <c r="H42" s="6">
        <f t="shared" si="1"/>
        <v>1.6989700043360187</v>
      </c>
      <c r="I42" s="424">
        <f t="shared" si="2"/>
        <v>0.02</v>
      </c>
      <c r="J42" s="6"/>
      <c r="K42" s="425"/>
      <c r="L42" s="425"/>
      <c r="M42" s="286"/>
      <c r="P42" s="529"/>
      <c r="Q42" s="529"/>
    </row>
    <row r="43" spans="2:13" ht="15">
      <c r="B43" s="6">
        <f>C43-F43</f>
        <v>699.2506363636362</v>
      </c>
      <c r="C43" s="3">
        <v>2214.250636363636</v>
      </c>
      <c r="D43" s="6">
        <f t="shared" si="0"/>
        <v>-63</v>
      </c>
      <c r="E43" s="6">
        <v>1452</v>
      </c>
      <c r="F43" s="7">
        <v>1515</v>
      </c>
      <c r="G43" s="7">
        <v>100</v>
      </c>
      <c r="H43" s="6">
        <f t="shared" si="1"/>
        <v>2</v>
      </c>
      <c r="I43" s="424">
        <f t="shared" si="2"/>
        <v>0.01</v>
      </c>
      <c r="J43" s="6"/>
      <c r="K43" s="425"/>
      <c r="L43" s="425"/>
      <c r="M43" s="286"/>
    </row>
    <row r="44" spans="4:13" ht="15">
      <c r="D44" s="6">
        <f t="shared" si="0"/>
        <v>-45</v>
      </c>
      <c r="E44" s="6">
        <v>1140</v>
      </c>
      <c r="F44" s="7">
        <v>1185</v>
      </c>
      <c r="G44" s="7">
        <v>200</v>
      </c>
      <c r="H44" s="6">
        <f t="shared" si="1"/>
        <v>2.3010299956639813</v>
      </c>
      <c r="I44" s="424">
        <f t="shared" si="2"/>
        <v>0.005</v>
      </c>
      <c r="J44" s="6"/>
      <c r="K44" s="425"/>
      <c r="L44" s="425"/>
      <c r="M44" s="286"/>
    </row>
    <row r="45" spans="4:21" ht="15">
      <c r="D45" s="6">
        <f t="shared" si="0"/>
        <v>-45</v>
      </c>
      <c r="E45" s="6">
        <v>1139</v>
      </c>
      <c r="F45" s="7">
        <v>1184</v>
      </c>
      <c r="G45" s="7">
        <v>500</v>
      </c>
      <c r="H45" s="6">
        <f t="shared" si="1"/>
        <v>2.6989700043360187</v>
      </c>
      <c r="I45" s="424">
        <f t="shared" si="2"/>
        <v>0.002</v>
      </c>
      <c r="J45" s="6"/>
      <c r="K45" s="425"/>
      <c r="L45" s="425"/>
      <c r="M45" s="286"/>
      <c r="P45" s="9"/>
      <c r="Q45" s="9"/>
      <c r="R45" s="9"/>
      <c r="S45" s="9"/>
      <c r="T45" s="9"/>
      <c r="U45" s="9"/>
    </row>
    <row r="46" spans="9:21" ht="15">
      <c r="I46" s="424"/>
      <c r="M46" s="286"/>
      <c r="P46" s="529"/>
      <c r="Q46" s="529"/>
      <c r="R46" s="529"/>
      <c r="S46" s="529"/>
      <c r="T46" s="529"/>
      <c r="U46" s="529"/>
    </row>
    <row r="47" spans="6:21" ht="15">
      <c r="F47" s="6"/>
      <c r="I47" s="7"/>
      <c r="M47" s="286"/>
      <c r="P47" s="529"/>
      <c r="Q47" s="529"/>
      <c r="R47" s="529"/>
      <c r="S47" s="529"/>
      <c r="T47" s="529"/>
      <c r="U47" s="529"/>
    </row>
    <row r="48" spans="6:21" ht="15">
      <c r="F48" s="6"/>
      <c r="I48" s="7"/>
      <c r="M48" s="286"/>
      <c r="P48" s="529"/>
      <c r="Q48" s="529"/>
      <c r="R48" s="529"/>
      <c r="S48" s="529"/>
      <c r="T48" s="529"/>
      <c r="U48" s="529"/>
    </row>
    <row r="49" spans="9:13" ht="15">
      <c r="I49" s="7"/>
      <c r="M49" s="286"/>
    </row>
    <row r="50" spans="1:24" ht="15">
      <c r="A50" s="3">
        <v>2</v>
      </c>
      <c r="I50" s="7"/>
      <c r="M50" s="286"/>
      <c r="P50" s="9"/>
      <c r="Q50" s="9"/>
      <c r="R50" s="9"/>
      <c r="S50" s="9"/>
      <c r="T50" s="9"/>
      <c r="U50" s="9"/>
      <c r="V50" s="9"/>
      <c r="W50" s="9"/>
      <c r="X50" s="9"/>
    </row>
    <row r="51" ht="15">
      <c r="A51" s="6">
        <f>B51-E51</f>
        <v>0</v>
      </c>
    </row>
    <row r="52" spans="1:7" ht="15">
      <c r="A52" s="6">
        <f>B52-E52</f>
        <v>0</v>
      </c>
      <c r="E52" s="404"/>
      <c r="F52" s="398" t="s">
        <v>723</v>
      </c>
      <c r="G52" s="386"/>
    </row>
    <row r="53" spans="2:33" ht="15">
      <c r="B53" s="4"/>
      <c r="C53" s="4"/>
      <c r="D53" s="4"/>
      <c r="E53" s="4"/>
      <c r="F53" s="398"/>
      <c r="G53" s="4"/>
      <c r="H53" s="4"/>
      <c r="I53" s="4"/>
      <c r="J53" s="386"/>
      <c r="K53" s="386"/>
      <c r="L53" s="5"/>
      <c r="M53" s="5"/>
      <c r="N53" s="4"/>
      <c r="O53" s="4"/>
      <c r="P53" s="4"/>
      <c r="Q53" s="4"/>
      <c r="R53" s="4"/>
      <c r="S53" s="4"/>
      <c r="T53" s="4"/>
      <c r="U53" s="4"/>
      <c r="V53" s="4"/>
      <c r="W53" s="4"/>
      <c r="X53" s="4"/>
      <c r="Y53" s="4"/>
      <c r="Z53" s="4"/>
      <c r="AA53" s="4"/>
      <c r="AB53" s="4"/>
      <c r="AC53" s="4"/>
      <c r="AD53" s="4"/>
      <c r="AE53" s="4"/>
      <c r="AF53" s="4"/>
      <c r="AG53" s="4"/>
    </row>
    <row r="54" spans="2:33" ht="15">
      <c r="B54" s="4"/>
      <c r="C54" s="4"/>
      <c r="D54" s="4"/>
      <c r="E54" s="4"/>
      <c r="F54" s="530"/>
      <c r="G54" s="386"/>
      <c r="H54" s="5"/>
      <c r="I54" s="405"/>
      <c r="J54" s="386"/>
      <c r="K54" s="386"/>
      <c r="L54" s="5"/>
      <c r="M54" s="5"/>
      <c r="N54" s="4"/>
      <c r="O54" s="4"/>
      <c r="P54" s="4"/>
      <c r="Q54" s="4"/>
      <c r="R54" s="4"/>
      <c r="S54" s="4"/>
      <c r="T54" s="4"/>
      <c r="U54" s="4"/>
      <c r="V54" s="4"/>
      <c r="W54" s="4"/>
      <c r="X54" s="4"/>
      <c r="Y54" s="4"/>
      <c r="Z54" s="4"/>
      <c r="AA54" s="4"/>
      <c r="AB54" s="4"/>
      <c r="AC54" s="4"/>
      <c r="AD54" s="4"/>
      <c r="AE54" s="4"/>
      <c r="AF54" s="4"/>
      <c r="AG54" s="4"/>
    </row>
    <row r="55" spans="2:33" ht="15">
      <c r="B55" s="4"/>
      <c r="C55" s="4"/>
      <c r="D55" s="387"/>
      <c r="E55" s="387"/>
      <c r="F55" s="739" t="s">
        <v>742</v>
      </c>
      <c r="G55" s="740"/>
      <c r="H55" s="741" t="s">
        <v>743</v>
      </c>
      <c r="I55" s="742"/>
      <c r="J55" s="742"/>
      <c r="K55" s="742"/>
      <c r="L55" s="5"/>
      <c r="M55" s="5"/>
      <c r="N55" s="4"/>
      <c r="O55" s="4"/>
      <c r="P55" s="4"/>
      <c r="Q55" s="4"/>
      <c r="R55" s="4"/>
      <c r="S55" s="4"/>
      <c r="T55" s="4"/>
      <c r="U55" s="4"/>
      <c r="V55" s="4"/>
      <c r="W55" s="4"/>
      <c r="X55" s="4"/>
      <c r="Y55" s="4"/>
      <c r="Z55" s="4"/>
      <c r="AA55" s="4"/>
      <c r="AB55" s="4"/>
      <c r="AC55" s="4"/>
      <c r="AD55" s="4"/>
      <c r="AE55" s="4"/>
      <c r="AF55" s="4"/>
      <c r="AG55" s="4"/>
    </row>
    <row r="56" spans="2:33" ht="15">
      <c r="B56" s="397"/>
      <c r="C56" s="4"/>
      <c r="D56" s="389"/>
      <c r="E56" s="390"/>
      <c r="F56" s="740"/>
      <c r="G56" s="740"/>
      <c r="H56" s="742"/>
      <c r="I56" s="742"/>
      <c r="J56" s="742"/>
      <c r="K56" s="742"/>
      <c r="L56" s="5"/>
      <c r="M56" s="5"/>
      <c r="N56" s="4"/>
      <c r="O56" s="4"/>
      <c r="P56" s="4"/>
      <c r="Q56" s="4"/>
      <c r="R56" s="4"/>
      <c r="S56" s="4"/>
      <c r="T56" s="4"/>
      <c r="U56" s="4"/>
      <c r="V56" s="4"/>
      <c r="W56" s="4"/>
      <c r="X56" s="4"/>
      <c r="Y56" s="4"/>
      <c r="Z56" s="4"/>
      <c r="AA56" s="4"/>
      <c r="AB56" s="4"/>
      <c r="AC56" s="4"/>
      <c r="AD56" s="4"/>
      <c r="AE56" s="4"/>
      <c r="AF56" s="4"/>
      <c r="AG56" s="4"/>
    </row>
    <row r="57" spans="2:33" ht="15">
      <c r="B57" s="4"/>
      <c r="C57" s="4"/>
      <c r="D57" s="391"/>
      <c r="E57" s="390"/>
      <c r="F57" s="740"/>
      <c r="G57" s="740"/>
      <c r="H57" s="742"/>
      <c r="I57" s="742"/>
      <c r="J57" s="742"/>
      <c r="K57" s="742"/>
      <c r="L57" s="5"/>
      <c r="M57" s="5"/>
      <c r="N57" s="4"/>
      <c r="O57" s="4"/>
      <c r="P57" s="4"/>
      <c r="Q57" s="4"/>
      <c r="R57" s="4"/>
      <c r="S57" s="4"/>
      <c r="T57" s="4"/>
      <c r="U57" s="4"/>
      <c r="V57" s="4"/>
      <c r="W57" s="4"/>
      <c r="X57" s="4"/>
      <c r="Y57" s="4"/>
      <c r="Z57" s="4"/>
      <c r="AA57" s="4"/>
      <c r="AB57" s="4"/>
      <c r="AC57" s="4"/>
      <c r="AD57" s="4"/>
      <c r="AE57" s="4"/>
      <c r="AF57" s="4"/>
      <c r="AG57" s="4"/>
    </row>
    <row r="58" spans="2:33" ht="15">
      <c r="B58" s="4"/>
      <c r="C58" s="4"/>
      <c r="D58" s="5"/>
      <c r="E58" s="5"/>
      <c r="F58" s="740"/>
      <c r="G58" s="740"/>
      <c r="H58" s="742"/>
      <c r="I58" s="742"/>
      <c r="J58" s="742"/>
      <c r="K58" s="742"/>
      <c r="L58" s="399"/>
      <c r="M58" s="399"/>
      <c r="N58" s="4"/>
      <c r="O58" s="4"/>
      <c r="P58" s="4"/>
      <c r="Q58" s="4"/>
      <c r="R58" s="4"/>
      <c r="S58" s="4"/>
      <c r="T58" s="4"/>
      <c r="U58" s="4"/>
      <c r="V58" s="4"/>
      <c r="W58" s="4"/>
      <c r="X58" s="4"/>
      <c r="Y58" s="4"/>
      <c r="Z58" s="4"/>
      <c r="AA58" s="4"/>
      <c r="AB58" s="4"/>
      <c r="AC58" s="4"/>
      <c r="AD58" s="4"/>
      <c r="AE58" s="4"/>
      <c r="AF58" s="4"/>
      <c r="AG58" s="4"/>
    </row>
    <row r="59" spans="2:33" ht="15">
      <c r="B59" s="4"/>
      <c r="C59" s="4"/>
      <c r="D59" s="392"/>
      <c r="E59" s="392"/>
      <c r="F59" s="743"/>
      <c r="G59" s="744"/>
      <c r="H59" s="742"/>
      <c r="I59" s="742"/>
      <c r="J59" s="742"/>
      <c r="K59" s="742"/>
      <c r="L59" s="5"/>
      <c r="M59" s="5"/>
      <c r="N59" s="4"/>
      <c r="O59" s="4"/>
      <c r="P59" s="4"/>
      <c r="Q59" s="4"/>
      <c r="R59" s="4"/>
      <c r="S59" s="4"/>
      <c r="T59" s="4"/>
      <c r="U59" s="4"/>
      <c r="V59" s="4"/>
      <c r="W59" s="4"/>
      <c r="X59" s="4"/>
      <c r="Y59" s="4"/>
      <c r="Z59" s="4"/>
      <c r="AA59" s="4"/>
      <c r="AB59" s="4"/>
      <c r="AC59" s="4"/>
      <c r="AD59" s="4"/>
      <c r="AE59" s="4"/>
      <c r="AF59" s="4"/>
      <c r="AG59" s="4"/>
    </row>
    <row r="60" spans="2:33" ht="39.75" customHeight="1">
      <c r="B60" s="4"/>
      <c r="C60" s="4"/>
      <c r="D60" s="384"/>
      <c r="E60" s="4"/>
      <c r="F60" s="406" t="s">
        <v>37</v>
      </c>
      <c r="G60" s="407" t="s">
        <v>38</v>
      </c>
      <c r="H60" s="407" t="s">
        <v>39</v>
      </c>
      <c r="I60" s="407" t="s">
        <v>40</v>
      </c>
      <c r="J60" s="407" t="s">
        <v>724</v>
      </c>
      <c r="K60" s="407" t="s">
        <v>725</v>
      </c>
      <c r="L60" s="408"/>
      <c r="M60" s="4"/>
      <c r="N60" s="4"/>
      <c r="O60" s="4"/>
      <c r="P60" s="4"/>
      <c r="Q60" s="4"/>
      <c r="R60" s="4"/>
      <c r="S60" s="4"/>
      <c r="T60" s="4"/>
      <c r="U60" s="4"/>
      <c r="V60" s="4"/>
      <c r="W60" s="4"/>
      <c r="X60" s="4"/>
      <c r="Y60" s="4"/>
      <c r="Z60" s="4"/>
      <c r="AA60" s="4"/>
      <c r="AB60" s="4"/>
      <c r="AC60" s="4"/>
      <c r="AD60" s="4"/>
      <c r="AE60" s="4"/>
      <c r="AF60" s="4"/>
      <c r="AG60" s="4"/>
    </row>
    <row r="61" spans="2:33" ht="19.5">
      <c r="B61" s="4"/>
      <c r="C61" s="4"/>
      <c r="D61" s="404"/>
      <c r="E61" s="4"/>
      <c r="F61" s="409">
        <v>0</v>
      </c>
      <c r="G61" s="403">
        <f>Simulatore!G16</f>
        <v>5</v>
      </c>
      <c r="H61" s="426">
        <f>IF(G61&lt;=6,B66,C66)</f>
        <v>1868.0348460852138</v>
      </c>
      <c r="I61" s="410">
        <f>H61*G61</f>
        <v>9340.17423042607</v>
      </c>
      <c r="J61" s="411">
        <f>(F64*1.1)+F61</f>
        <v>123.29029984162412</v>
      </c>
      <c r="K61" s="411">
        <f>J61*G61</f>
        <v>616.4514992081206</v>
      </c>
      <c r="L61" s="408"/>
      <c r="M61" s="383"/>
      <c r="N61" s="4"/>
      <c r="O61" s="4"/>
      <c r="P61" s="4"/>
      <c r="Q61" s="4"/>
      <c r="R61" s="4"/>
      <c r="S61" s="4"/>
      <c r="T61" s="4"/>
      <c r="U61" s="4"/>
      <c r="V61" s="4"/>
      <c r="W61" s="4"/>
      <c r="X61" s="4"/>
      <c r="Y61" s="4"/>
      <c r="Z61" s="4"/>
      <c r="AA61" s="4"/>
      <c r="AB61" s="4"/>
      <c r="AC61" s="4"/>
      <c r="AD61" s="4"/>
      <c r="AE61" s="4"/>
      <c r="AF61" s="4"/>
      <c r="AG61" s="4"/>
    </row>
    <row r="62" spans="2:33" ht="25.5">
      <c r="B62" s="4"/>
      <c r="C62" s="393"/>
      <c r="D62" s="393"/>
      <c r="E62" s="412">
        <f>E64+D64</f>
        <v>0.06</v>
      </c>
      <c r="F62" s="738" t="s">
        <v>41</v>
      </c>
      <c r="G62" s="413" t="s">
        <v>726</v>
      </c>
      <c r="H62" s="410"/>
      <c r="I62" s="536"/>
      <c r="J62" s="536"/>
      <c r="K62" s="414"/>
      <c r="L62" s="408"/>
      <c r="M62" s="4"/>
      <c r="N62" s="4"/>
      <c r="O62" s="4"/>
      <c r="P62" s="4"/>
      <c r="Q62" s="4"/>
      <c r="R62" s="4"/>
      <c r="S62" s="4"/>
      <c r="T62" s="4"/>
      <c r="U62" s="4"/>
      <c r="V62" s="4"/>
      <c r="W62" s="4"/>
      <c r="X62" s="4"/>
      <c r="Y62" s="4"/>
      <c r="Z62" s="4"/>
      <c r="AA62" s="4"/>
      <c r="AB62" s="4"/>
      <c r="AC62" s="4"/>
      <c r="AD62" s="4"/>
      <c r="AE62" s="4"/>
      <c r="AF62" s="4"/>
      <c r="AG62" s="4"/>
    </row>
    <row r="63" spans="2:33" ht="15">
      <c r="B63" s="4"/>
      <c r="C63" s="4"/>
      <c r="D63" s="393">
        <f>Simulatore!AQ16</f>
        <v>0.06</v>
      </c>
      <c r="E63" s="412">
        <f>E65+D64</f>
        <v>0.06108441993929574</v>
      </c>
      <c r="F63" s="695"/>
      <c r="G63" s="413" t="s">
        <v>727</v>
      </c>
      <c r="H63" s="415">
        <f>Simulatore!C90+Simulatore!AO16-154</f>
        <v>-154</v>
      </c>
      <c r="I63" s="536"/>
      <c r="J63" s="416"/>
      <c r="K63" s="536"/>
      <c r="L63" s="408"/>
      <c r="M63" s="4"/>
      <c r="N63" s="4"/>
      <c r="O63" s="4"/>
      <c r="P63" s="4"/>
      <c r="Q63" s="4"/>
      <c r="R63" s="4"/>
      <c r="S63" s="4"/>
      <c r="T63" s="4"/>
      <c r="U63" s="4"/>
      <c r="V63" s="4"/>
      <c r="W63" s="4"/>
      <c r="X63" s="4"/>
      <c r="Y63" s="4"/>
      <c r="Z63" s="4"/>
      <c r="AA63" s="4"/>
      <c r="AB63" s="4"/>
      <c r="AC63" s="4"/>
      <c r="AD63" s="4"/>
      <c r="AE63" s="4"/>
      <c r="AF63" s="4"/>
      <c r="AG63" s="4"/>
    </row>
    <row r="64" spans="2:33" ht="48.75" customHeight="1">
      <c r="B64" s="4"/>
      <c r="C64" s="394"/>
      <c r="D64" s="393">
        <f>D63-E64</f>
        <v>0</v>
      </c>
      <c r="E64" s="417">
        <v>0.06</v>
      </c>
      <c r="F64" s="418">
        <f>H61*F65</f>
        <v>112.08209076511282</v>
      </c>
      <c r="G64" s="536"/>
      <c r="H64" s="536"/>
      <c r="I64" s="536"/>
      <c r="J64" s="416"/>
      <c r="K64" s="536"/>
      <c r="L64" s="408"/>
      <c r="M64" s="383"/>
      <c r="N64" s="356">
        <v>1</v>
      </c>
      <c r="O64" s="529"/>
      <c r="P64" s="356">
        <f>VLOOKUP(N64,$N$29:$P$31,3,)</f>
        <v>0</v>
      </c>
      <c r="Q64" s="4"/>
      <c r="R64" s="4"/>
      <c r="S64" s="4"/>
      <c r="T64" s="4"/>
      <c r="U64" s="4"/>
      <c r="V64" s="4"/>
      <c r="W64" s="4"/>
      <c r="X64" s="4"/>
      <c r="Y64" s="4"/>
      <c r="Z64" s="4"/>
      <c r="AA64" s="4"/>
      <c r="AB64" s="4"/>
      <c r="AC64" s="4"/>
      <c r="AD64" s="4"/>
      <c r="AE64" s="4"/>
      <c r="AF64" s="4"/>
      <c r="AG64" s="4"/>
    </row>
    <row r="65" spans="2:33" ht="39.75" customHeight="1">
      <c r="B65" s="4">
        <v>450</v>
      </c>
      <c r="C65" s="394">
        <f>450/G61</f>
        <v>90</v>
      </c>
      <c r="D65" s="383"/>
      <c r="E65" s="417">
        <f>(3540+0.7*G61-700*LOG(G61))*2/100000</f>
        <v>0.06108441993929574</v>
      </c>
      <c r="F65" s="419">
        <f>IF(G61&lt;=6,E62,E63)</f>
        <v>0.06</v>
      </c>
      <c r="G65" s="407"/>
      <c r="H65" s="407" t="s">
        <v>42</v>
      </c>
      <c r="I65" s="407" t="s">
        <v>43</v>
      </c>
      <c r="J65" s="420" t="s">
        <v>44</v>
      </c>
      <c r="K65" s="420" t="s">
        <v>45</v>
      </c>
      <c r="L65" s="408"/>
      <c r="M65" s="383"/>
      <c r="N65" s="356"/>
      <c r="O65" s="401" t="s">
        <v>728</v>
      </c>
      <c r="P65" s="356"/>
      <c r="Q65" s="4"/>
      <c r="R65" s="4"/>
      <c r="S65" s="4"/>
      <c r="T65" s="4"/>
      <c r="U65" s="4"/>
      <c r="V65" s="4"/>
      <c r="W65" s="4"/>
      <c r="X65" s="4"/>
      <c r="Y65" s="4"/>
      <c r="Z65" s="4"/>
      <c r="AA65" s="4"/>
      <c r="AB65" s="4"/>
      <c r="AC65" s="4"/>
      <c r="AD65" s="4"/>
      <c r="AE65" s="4"/>
      <c r="AF65" s="4"/>
      <c r="AG65" s="4"/>
    </row>
    <row r="66" spans="2:33" ht="18">
      <c r="B66" s="394">
        <f>2330.7-552*0.8*LOG(G61)+H63+P64</f>
        <v>1868.0348460852138</v>
      </c>
      <c r="C66" s="394">
        <f>B66+C65</f>
        <v>1958.0348460852138</v>
      </c>
      <c r="D66" s="383"/>
      <c r="E66" s="404"/>
      <c r="F66" s="410"/>
      <c r="G66" s="403"/>
      <c r="H66" s="410">
        <f>H61+F64</f>
        <v>1980.1169368503265</v>
      </c>
      <c r="I66" s="410">
        <f>H66*G61</f>
        <v>9900.584684251633</v>
      </c>
      <c r="J66" s="411">
        <f>IF(Simulatore!G16=0,0,J67)</f>
        <v>2178.128630535359</v>
      </c>
      <c r="K66" s="421">
        <f>J66*G61</f>
        <v>10890.643152676796</v>
      </c>
      <c r="L66" s="408"/>
      <c r="M66" s="383"/>
      <c r="N66" s="356">
        <v>1</v>
      </c>
      <c r="O66" s="402" t="s">
        <v>729</v>
      </c>
      <c r="P66" s="356">
        <v>0</v>
      </c>
      <c r="Q66" s="4"/>
      <c r="R66" s="4"/>
      <c r="S66" s="4"/>
      <c r="T66" s="4"/>
      <c r="U66" s="4"/>
      <c r="V66" s="4"/>
      <c r="W66" s="4"/>
      <c r="X66" s="4"/>
      <c r="Y66" s="4"/>
      <c r="Z66" s="4"/>
      <c r="AA66" s="4"/>
      <c r="AB66" s="4"/>
      <c r="AC66" s="4"/>
      <c r="AD66" s="4"/>
      <c r="AE66" s="4"/>
      <c r="AF66" s="4"/>
      <c r="AG66" s="4"/>
    </row>
    <row r="67" spans="2:33" ht="15.75">
      <c r="B67" s="4"/>
      <c r="C67" s="4"/>
      <c r="D67" s="334"/>
      <c r="E67" s="4"/>
      <c r="F67" s="422"/>
      <c r="G67" s="4"/>
      <c r="H67" s="4"/>
      <c r="I67" s="4"/>
      <c r="J67" s="4">
        <f>H66*1.1</f>
        <v>2178.128630535359</v>
      </c>
      <c r="K67" s="4"/>
      <c r="L67" s="4"/>
      <c r="M67" s="422"/>
      <c r="N67" s="356">
        <v>2</v>
      </c>
      <c r="O67" s="402" t="s">
        <v>730</v>
      </c>
      <c r="P67" s="356">
        <v>450</v>
      </c>
      <c r="Q67" s="4"/>
      <c r="R67" s="4"/>
      <c r="S67" s="4"/>
      <c r="T67" s="4"/>
      <c r="U67" s="4"/>
      <c r="V67" s="4"/>
      <c r="W67" s="4"/>
      <c r="X67" s="4"/>
      <c r="Y67" s="4"/>
      <c r="Z67" s="4"/>
      <c r="AA67" s="4"/>
      <c r="AB67" s="4"/>
      <c r="AC67" s="4"/>
      <c r="AD67" s="4"/>
      <c r="AE67" s="4"/>
      <c r="AF67" s="4"/>
      <c r="AG67" s="4"/>
    </row>
    <row r="68" spans="8:10" ht="15">
      <c r="H68" s="3">
        <f>(D66+(D66*F65))/100*110</f>
        <v>0</v>
      </c>
      <c r="I68" s="3">
        <f>H68*G61</f>
        <v>0</v>
      </c>
      <c r="J68" s="3">
        <f>I68+(G61*32)</f>
        <v>160</v>
      </c>
    </row>
    <row r="70" spans="3:16" ht="15">
      <c r="C70" s="395">
        <v>40878</v>
      </c>
      <c r="F70" s="423">
        <v>40909</v>
      </c>
      <c r="G70" s="532" t="s">
        <v>8</v>
      </c>
      <c r="H70" s="532" t="s">
        <v>9</v>
      </c>
      <c r="I70" s="532" t="s">
        <v>7</v>
      </c>
      <c r="J70" s="532" t="s">
        <v>10</v>
      </c>
      <c r="K70" s="532" t="s">
        <v>11</v>
      </c>
      <c r="M70" s="532" t="s">
        <v>10</v>
      </c>
      <c r="P70" s="3" t="s">
        <v>12</v>
      </c>
    </row>
    <row r="71" spans="2:13" ht="15">
      <c r="B71" s="6">
        <f>C71-F71</f>
        <v>292.4835757814685</v>
      </c>
      <c r="C71" s="3">
        <v>2622.4835757814685</v>
      </c>
      <c r="D71" s="6">
        <f aca="true" t="shared" si="3" ref="D71:D81">E71-F71</f>
        <v>-132</v>
      </c>
      <c r="E71" s="6">
        <v>2198</v>
      </c>
      <c r="F71" s="7">
        <v>2330</v>
      </c>
      <c r="G71" s="7">
        <v>2</v>
      </c>
      <c r="H71" s="6">
        <f aca="true" t="shared" si="4" ref="H71:H81">LOG(G71)</f>
        <v>0.3010299956639812</v>
      </c>
      <c r="I71" s="424">
        <f aca="true" t="shared" si="5" ref="I71:I81">1/G71</f>
        <v>0.5</v>
      </c>
      <c r="J71" s="6" t="e">
        <f>#REF!+#REF!*G71+#REF!*LOG(G71)+#REF!/G71-#REF!+#REF!</f>
        <v>#REF!</v>
      </c>
      <c r="K71" s="425" t="e">
        <f aca="true" t="shared" si="6" ref="K71:K76">(J71-F71)/F71</f>
        <v>#REF!</v>
      </c>
      <c r="L71" s="425"/>
      <c r="M71" s="286">
        <f aca="true" t="shared" si="7" ref="M71:M81">3401.9+0.741*G71-657*LOG(G71)+167.5/G71</f>
        <v>3289.3552928487643</v>
      </c>
    </row>
    <row r="72" spans="2:17" ht="15">
      <c r="B72" s="6">
        <f>C72-F72</f>
        <v>375.4835757814685</v>
      </c>
      <c r="C72" s="3">
        <v>2622.4835757814685</v>
      </c>
      <c r="D72" s="6">
        <f t="shared" si="3"/>
        <v>-127</v>
      </c>
      <c r="E72" s="6">
        <v>2120</v>
      </c>
      <c r="F72" s="7">
        <v>2247</v>
      </c>
      <c r="G72" s="7">
        <v>3</v>
      </c>
      <c r="H72" s="6">
        <f t="shared" si="4"/>
        <v>0.47712125471966244</v>
      </c>
      <c r="I72" s="424">
        <f t="shared" si="5"/>
        <v>0.3333333333333333</v>
      </c>
      <c r="J72" s="6" t="e">
        <f>#REF!+#REF!*G72+#REF!*LOG(G72)+#REF!/G72-#REF!+#REF!</f>
        <v>#REF!</v>
      </c>
      <c r="K72" s="425" t="e">
        <f t="shared" si="6"/>
        <v>#REF!</v>
      </c>
      <c r="L72" s="425"/>
      <c r="M72" s="286">
        <f t="shared" si="7"/>
        <v>3146.4876689825155</v>
      </c>
      <c r="P72" s="396" t="s">
        <v>13</v>
      </c>
      <c r="Q72" s="396"/>
    </row>
    <row r="73" spans="2:17" ht="15">
      <c r="B73" s="6">
        <f>C73-F73</f>
        <v>457.4835757814685</v>
      </c>
      <c r="C73" s="3">
        <v>2622.4835757814685</v>
      </c>
      <c r="D73" s="6">
        <f t="shared" si="3"/>
        <v>-123</v>
      </c>
      <c r="E73" s="6">
        <v>2042</v>
      </c>
      <c r="F73" s="7">
        <v>2165</v>
      </c>
      <c r="G73" s="7">
        <v>4.5</v>
      </c>
      <c r="H73" s="6">
        <f t="shared" si="4"/>
        <v>0.6532125137753437</v>
      </c>
      <c r="I73" s="424">
        <f t="shared" si="5"/>
        <v>0.2222222222222222</v>
      </c>
      <c r="J73" s="6" t="e">
        <f>#REF!+#REF!*G73+#REF!*LOG(G73)+#REF!/G73-#REF!+#REF!</f>
        <v>#REF!</v>
      </c>
      <c r="K73" s="425" t="e">
        <f t="shared" si="6"/>
        <v>#REF!</v>
      </c>
      <c r="L73" s="425"/>
      <c r="M73" s="286">
        <f t="shared" si="7"/>
        <v>3013.2961006718215</v>
      </c>
      <c r="P73" s="529" t="s">
        <v>14</v>
      </c>
      <c r="Q73" s="529">
        <v>0.9999919509185742</v>
      </c>
    </row>
    <row r="74" spans="2:17" ht="15">
      <c r="B74" s="6">
        <f>C74-F74</f>
        <v>516.4835757814685</v>
      </c>
      <c r="C74" s="3">
        <v>2622.4835757814685</v>
      </c>
      <c r="D74" s="6">
        <f t="shared" si="3"/>
        <v>-119</v>
      </c>
      <c r="E74" s="6">
        <v>1987</v>
      </c>
      <c r="F74" s="7">
        <v>2106</v>
      </c>
      <c r="G74" s="7">
        <v>6</v>
      </c>
      <c r="H74" s="6">
        <f t="shared" si="4"/>
        <v>0.7781512503836436</v>
      </c>
      <c r="I74" s="424">
        <f t="shared" si="5"/>
        <v>0.16666666666666666</v>
      </c>
      <c r="J74" s="6" t="e">
        <f>#REF!+#REF!*G74+#REF!*LOG(G74)+#REF!/G74-#REF!+#REF!</f>
        <v>#REF!</v>
      </c>
      <c r="K74" s="425" t="e">
        <f t="shared" si="6"/>
        <v>#REF!</v>
      </c>
      <c r="L74" s="425"/>
      <c r="M74" s="286">
        <f t="shared" si="7"/>
        <v>2923.0172951646127</v>
      </c>
      <c r="P74" s="529" t="s">
        <v>15</v>
      </c>
      <c r="Q74" s="529">
        <v>0.999983901901936</v>
      </c>
    </row>
    <row r="75" spans="2:17" ht="15">
      <c r="B75" s="6">
        <f>C75-F75</f>
        <v>429.0181818181818</v>
      </c>
      <c r="C75" s="3">
        <v>2469.018181818182</v>
      </c>
      <c r="D75" s="6">
        <f t="shared" si="3"/>
        <v>-106</v>
      </c>
      <c r="E75" s="6">
        <v>1934</v>
      </c>
      <c r="F75" s="7">
        <v>2040</v>
      </c>
      <c r="G75" s="7">
        <v>10</v>
      </c>
      <c r="H75" s="6">
        <f t="shared" si="4"/>
        <v>1</v>
      </c>
      <c r="I75" s="424">
        <f t="shared" si="5"/>
        <v>0.1</v>
      </c>
      <c r="J75" s="6" t="e">
        <f>#REF!+#REF!*G75+#REF!*LOG(G75)+#REF!/G75-#REF!+#REF!</f>
        <v>#REF!</v>
      </c>
      <c r="K75" s="425" t="e">
        <f t="shared" si="6"/>
        <v>#REF!</v>
      </c>
      <c r="L75" s="425"/>
      <c r="M75" s="286">
        <f t="shared" si="7"/>
        <v>2769.06</v>
      </c>
      <c r="P75" s="529" t="s">
        <v>16</v>
      </c>
      <c r="Q75" s="529">
        <v>0.9999758528529039</v>
      </c>
    </row>
    <row r="76" spans="2:17" ht="15">
      <c r="B76" s="6"/>
      <c r="D76" s="6">
        <f t="shared" si="3"/>
        <v>-98</v>
      </c>
      <c r="E76" s="6">
        <v>1841</v>
      </c>
      <c r="F76" s="7">
        <v>1939</v>
      </c>
      <c r="G76" s="7">
        <v>15</v>
      </c>
      <c r="H76" s="6">
        <f t="shared" si="4"/>
        <v>1.1760912590556813</v>
      </c>
      <c r="I76" s="424">
        <f t="shared" si="5"/>
        <v>0.06666666666666667</v>
      </c>
      <c r="J76" s="6" t="e">
        <f>#REF!+#REF!*G76+#REF!*LOG(G76)+#REF!/G76-#REF!+#REF!</f>
        <v>#REF!</v>
      </c>
      <c r="K76" s="425" t="e">
        <f t="shared" si="6"/>
        <v>#REF!</v>
      </c>
      <c r="L76" s="425"/>
      <c r="M76" s="286">
        <f t="shared" si="7"/>
        <v>2651.4897094670837</v>
      </c>
      <c r="P76" s="529"/>
      <c r="Q76" s="529"/>
    </row>
    <row r="77" spans="2:17" ht="15">
      <c r="B77" s="6">
        <f>C77-F77</f>
        <v>499.9978992871088</v>
      </c>
      <c r="C77" s="3">
        <v>2369.997899287109</v>
      </c>
      <c r="D77" s="6">
        <f t="shared" si="3"/>
        <v>-91</v>
      </c>
      <c r="E77" s="6">
        <v>1779</v>
      </c>
      <c r="F77" s="7">
        <v>1870</v>
      </c>
      <c r="G77" s="7">
        <v>20</v>
      </c>
      <c r="H77" s="6">
        <f t="shared" si="4"/>
        <v>1.3010299956639813</v>
      </c>
      <c r="I77" s="424">
        <f t="shared" si="5"/>
        <v>0.05</v>
      </c>
      <c r="J77" s="6" t="e">
        <f>#REF!+#REF!*G77+#REF!*LOG(G77)+#REF!/G77-#REF!+#REF!</f>
        <v>#REF!</v>
      </c>
      <c r="K77" s="425" t="e">
        <f>(J77-F77)/F77</f>
        <v>#REF!</v>
      </c>
      <c r="L77" s="425"/>
      <c r="M77" s="286">
        <f t="shared" si="7"/>
        <v>2570.3182928487645</v>
      </c>
      <c r="P77" s="529" t="s">
        <v>17</v>
      </c>
      <c r="Q77" s="529">
        <v>2.3237327273152255</v>
      </c>
    </row>
    <row r="78" spans="2:17" ht="15">
      <c r="B78" s="6">
        <f>C78-F78</f>
        <v>605.6065552583459</v>
      </c>
      <c r="C78" s="3">
        <v>2268.606555258346</v>
      </c>
      <c r="D78" s="6">
        <f t="shared" si="3"/>
        <v>-103</v>
      </c>
      <c r="E78" s="6">
        <v>1560</v>
      </c>
      <c r="F78" s="7">
        <v>1663</v>
      </c>
      <c r="G78" s="7">
        <v>50</v>
      </c>
      <c r="H78" s="6">
        <f t="shared" si="4"/>
        <v>1.6989700043360187</v>
      </c>
      <c r="I78" s="424">
        <f t="shared" si="5"/>
        <v>0.02</v>
      </c>
      <c r="J78" s="6" t="e">
        <f>#REF!+#REF!*G78+#REF!*LOG(G78)+#REF!/G78-#REF!+#REF!</f>
        <v>#REF!</v>
      </c>
      <c r="K78" s="425" t="e">
        <f>(J78-F78)/F78</f>
        <v>#REF!</v>
      </c>
      <c r="L78" s="425"/>
      <c r="M78" s="286">
        <f t="shared" si="7"/>
        <v>2326.076707151236</v>
      </c>
      <c r="P78" s="529" t="s">
        <v>18</v>
      </c>
      <c r="Q78" s="529">
        <v>10</v>
      </c>
    </row>
    <row r="79" spans="2:13" ht="15">
      <c r="B79" s="6">
        <f>C79-F79</f>
        <v>699.2506363636362</v>
      </c>
      <c r="C79" s="3">
        <v>2214.250636363636</v>
      </c>
      <c r="D79" s="6">
        <f t="shared" si="3"/>
        <v>-63</v>
      </c>
      <c r="E79" s="6">
        <v>1452</v>
      </c>
      <c r="F79" s="7">
        <v>1515</v>
      </c>
      <c r="G79" s="7">
        <v>100</v>
      </c>
      <c r="H79" s="6">
        <f t="shared" si="4"/>
        <v>2</v>
      </c>
      <c r="I79" s="424">
        <f t="shared" si="5"/>
        <v>0.01</v>
      </c>
      <c r="J79" s="6" t="e">
        <f>#REF!+#REF!*G79+#REF!*LOG(G79)+#REF!/G79-#REF!+#REF!</f>
        <v>#REF!</v>
      </c>
      <c r="K79" s="425" t="e">
        <f>(J79-F79)/F79</f>
        <v>#REF!</v>
      </c>
      <c r="L79" s="425"/>
      <c r="M79" s="286">
        <f t="shared" si="7"/>
        <v>2163.675</v>
      </c>
    </row>
    <row r="80" spans="4:16" ht="15">
      <c r="D80" s="6">
        <f t="shared" si="3"/>
        <v>-45</v>
      </c>
      <c r="E80" s="6">
        <v>1140</v>
      </c>
      <c r="F80" s="7">
        <v>1185</v>
      </c>
      <c r="G80" s="7">
        <v>200</v>
      </c>
      <c r="H80" s="6">
        <f t="shared" si="4"/>
        <v>2.3010299956639813</v>
      </c>
      <c r="I80" s="424">
        <f t="shared" si="5"/>
        <v>0.005</v>
      </c>
      <c r="J80" s="6" t="e">
        <f>#REF!+#REF!*G80+#REF!*LOG(G80)+#REF!/G80-#REF!+#REF!</f>
        <v>#REF!</v>
      </c>
      <c r="K80" s="425" t="e">
        <f>(J80-F80)/F80</f>
        <v>#REF!</v>
      </c>
      <c r="L80" s="425"/>
      <c r="M80" s="286">
        <f t="shared" si="7"/>
        <v>2039.1607928487642</v>
      </c>
      <c r="P80" s="3" t="s">
        <v>19</v>
      </c>
    </row>
    <row r="81" spans="4:21" ht="15">
      <c r="D81" s="6">
        <f t="shared" si="3"/>
        <v>-45</v>
      </c>
      <c r="E81" s="6">
        <v>1139</v>
      </c>
      <c r="F81" s="7">
        <v>1184</v>
      </c>
      <c r="G81" s="7">
        <v>500</v>
      </c>
      <c r="H81" s="6">
        <f t="shared" si="4"/>
        <v>2.6989700043360187</v>
      </c>
      <c r="I81" s="424">
        <f t="shared" si="5"/>
        <v>0.002</v>
      </c>
      <c r="J81" s="6" t="e">
        <f>#REF!+#REF!*G81+#REF!*LOG(G81)+#REF!/G81-#REF!+#REF!</f>
        <v>#REF!</v>
      </c>
      <c r="K81" s="425" t="e">
        <f>(J81-F81)/F81</f>
        <v>#REF!</v>
      </c>
      <c r="L81" s="425"/>
      <c r="M81" s="286">
        <f t="shared" si="7"/>
        <v>1999.511707151236</v>
      </c>
      <c r="P81" s="9"/>
      <c r="Q81" s="9" t="s">
        <v>20</v>
      </c>
      <c r="R81" s="9" t="s">
        <v>21</v>
      </c>
      <c r="S81" s="9" t="s">
        <v>22</v>
      </c>
      <c r="T81" s="9" t="s">
        <v>23</v>
      </c>
      <c r="U81" s="9" t="s">
        <v>24</v>
      </c>
    </row>
    <row r="82" spans="9:21" ht="15">
      <c r="I82" s="424"/>
      <c r="M82" s="286"/>
      <c r="P82" s="529" t="s">
        <v>25</v>
      </c>
      <c r="Q82" s="529">
        <v>3</v>
      </c>
      <c r="R82" s="529">
        <v>2012528.5015972718</v>
      </c>
      <c r="S82" s="529">
        <v>670842.8338657572</v>
      </c>
      <c r="T82" s="529">
        <v>124236.27908418512</v>
      </c>
      <c r="U82" s="529">
        <v>9.125762160943499E-15</v>
      </c>
    </row>
    <row r="83" spans="6:21" ht="15">
      <c r="F83" s="6"/>
      <c r="I83" s="7"/>
      <c r="M83" s="286"/>
      <c r="P83" s="529" t="s">
        <v>26</v>
      </c>
      <c r="Q83" s="529">
        <v>6</v>
      </c>
      <c r="R83" s="529">
        <v>32.39840272797513</v>
      </c>
      <c r="S83" s="529">
        <v>5.399733787995856</v>
      </c>
      <c r="T83" s="529"/>
      <c r="U83" s="529"/>
    </row>
    <row r="84" spans="6:21" ht="15">
      <c r="F84" s="6"/>
      <c r="I84" s="7"/>
      <c r="M84" s="286"/>
      <c r="P84" s="529" t="s">
        <v>27</v>
      </c>
      <c r="Q84" s="529">
        <v>9</v>
      </c>
      <c r="R84" s="529">
        <v>2012560.8999999997</v>
      </c>
      <c r="S84" s="529"/>
      <c r="T84" s="529"/>
      <c r="U84" s="529"/>
    </row>
    <row r="85" spans="9:13" ht="15">
      <c r="I85" s="7"/>
      <c r="M85" s="286"/>
    </row>
    <row r="86" spans="1:24" ht="15">
      <c r="A86" s="3">
        <v>2</v>
      </c>
      <c r="I86" s="7"/>
      <c r="M86" s="286"/>
      <c r="P86" s="9"/>
      <c r="Q86" s="9" t="s">
        <v>28</v>
      </c>
      <c r="R86" s="9" t="s">
        <v>17</v>
      </c>
      <c r="S86" s="9" t="s">
        <v>29</v>
      </c>
      <c r="T86" s="9" t="s">
        <v>30</v>
      </c>
      <c r="U86" s="9" t="s">
        <v>31</v>
      </c>
      <c r="V86" s="9" t="s">
        <v>32</v>
      </c>
      <c r="W86" s="9" t="s">
        <v>33</v>
      </c>
      <c r="X86" s="9" t="s">
        <v>34</v>
      </c>
    </row>
    <row r="87" spans="9:24" ht="15">
      <c r="I87" s="7"/>
      <c r="M87" s="286"/>
      <c r="P87" s="529" t="s">
        <v>35</v>
      </c>
      <c r="Q87" s="529">
        <v>3401.9218287723165</v>
      </c>
      <c r="R87" s="529">
        <v>5.429113338903395</v>
      </c>
      <c r="S87" s="529">
        <v>626.6072591255678</v>
      </c>
      <c r="T87" s="529">
        <v>1.1151000137268589E-15</v>
      </c>
      <c r="U87" s="529">
        <v>3388.6372670021447</v>
      </c>
      <c r="V87" s="529">
        <v>3415.2063905424884</v>
      </c>
      <c r="W87" s="529">
        <v>3388.6372670021447</v>
      </c>
      <c r="X87" s="529">
        <v>3415.2063905424884</v>
      </c>
    </row>
    <row r="88" spans="9:24" ht="15">
      <c r="I88" s="7"/>
      <c r="M88" s="286"/>
      <c r="P88" s="529" t="s">
        <v>8</v>
      </c>
      <c r="Q88" s="529">
        <v>0.7414880161253045</v>
      </c>
      <c r="R88" s="529">
        <v>0.011617377755421968</v>
      </c>
      <c r="S88" s="529">
        <v>63.825764448370734</v>
      </c>
      <c r="T88" s="529">
        <v>9.94602945674597E-10</v>
      </c>
      <c r="U88" s="529">
        <v>0.7130613168163344</v>
      </c>
      <c r="V88" s="529">
        <v>0.7699147154342745</v>
      </c>
      <c r="W88" s="529">
        <v>0.7130613168163344</v>
      </c>
      <c r="X88" s="529">
        <v>0.7699147154342745</v>
      </c>
    </row>
    <row r="89" spans="13:24" ht="15">
      <c r="M89" s="286"/>
      <c r="P89" s="529" t="s">
        <v>9</v>
      </c>
      <c r="Q89" s="529">
        <v>-656.9678053138483</v>
      </c>
      <c r="R89" s="529">
        <v>3.5945185245293954</v>
      </c>
      <c r="S89" s="529">
        <v>-182.76934750248935</v>
      </c>
      <c r="T89" s="529">
        <v>1.8100011730023952E-12</v>
      </c>
      <c r="U89" s="529">
        <v>-665.7632752906794</v>
      </c>
      <c r="V89" s="529">
        <v>-648.1723353370172</v>
      </c>
      <c r="W89" s="529">
        <v>-665.7632752906794</v>
      </c>
      <c r="X89" s="529">
        <v>-648.1723353370172</v>
      </c>
    </row>
    <row r="90" spans="13:24" ht="15">
      <c r="M90" s="286"/>
      <c r="P90" s="529" t="s">
        <v>7</v>
      </c>
      <c r="Q90" s="529">
        <v>167.47201291565014</v>
      </c>
      <c r="R90" s="529">
        <v>11.442995851531661</v>
      </c>
      <c r="S90" s="529">
        <v>14.635329339321029</v>
      </c>
      <c r="T90" s="529">
        <v>6.3882585705926306E-06</v>
      </c>
      <c r="U90" s="529">
        <v>139.4720107539346</v>
      </c>
      <c r="V90" s="529">
        <v>195.47201507736568</v>
      </c>
      <c r="W90" s="529">
        <v>139.4720107539346</v>
      </c>
      <c r="X90" s="529">
        <v>195.47201507736568</v>
      </c>
    </row>
    <row r="91" ht="15">
      <c r="M91" s="286"/>
    </row>
    <row r="92" ht="15">
      <c r="M92" s="286"/>
    </row>
    <row r="93" ht="15">
      <c r="M93" s="286"/>
    </row>
    <row r="94" ht="15">
      <c r="M94" s="286"/>
    </row>
    <row r="95" ht="15">
      <c r="M95" s="286"/>
    </row>
    <row r="96" ht="15">
      <c r="M96" s="286"/>
    </row>
    <row r="97" ht="15">
      <c r="M97" s="286"/>
    </row>
    <row r="98" ht="15">
      <c r="M98" s="286"/>
    </row>
  </sheetData>
  <sheetProtection password="D412" sheet="1" selectLockedCells="1" selectUnlockedCells="1"/>
  <mergeCells count="8">
    <mergeCell ref="F62:F63"/>
    <mergeCell ref="F19:G22"/>
    <mergeCell ref="H19:K23"/>
    <mergeCell ref="F23:G23"/>
    <mergeCell ref="F26:F27"/>
    <mergeCell ref="F55:G58"/>
    <mergeCell ref="H55:K59"/>
    <mergeCell ref="F59:G59"/>
  </mergeCells>
  <printOptions/>
  <pageMargins left="0.7" right="0.7" top="0.75" bottom="0.75" header="0.3" footer="0.3"/>
  <pageSetup horizontalDpi="600" verticalDpi="600" orientation="portrait" paperSize="9" r:id="rId2"/>
  <legacyDrawing r:id="rId1"/>
</worksheet>
</file>

<file path=xl/worksheets/sheet8.xml><?xml version="1.0" encoding="utf-8"?>
<worksheet xmlns="http://schemas.openxmlformats.org/spreadsheetml/2006/main" xmlns:r="http://schemas.openxmlformats.org/officeDocument/2006/relationships">
  <dimension ref="A2:V52"/>
  <sheetViews>
    <sheetView showGridLines="0" showRowColHeaders="0" zoomScale="84" zoomScaleNormal="84" zoomScalePageLayoutView="0" workbookViewId="0" topLeftCell="A1">
      <selection activeCell="A1" sqref="A1"/>
    </sheetView>
  </sheetViews>
  <sheetFormatPr defaultColWidth="9.140625" defaultRowHeight="15"/>
  <cols>
    <col min="1" max="1" width="2.8515625" style="363" customWidth="1"/>
    <col min="2" max="2" width="33.00390625" style="363" bestFit="1" customWidth="1"/>
    <col min="3" max="3" width="11.140625" style="363" customWidth="1"/>
    <col min="4" max="4" width="5.00390625" style="363" customWidth="1"/>
    <col min="5" max="5" width="43.8515625" style="363" bestFit="1" customWidth="1"/>
    <col min="6" max="6" width="2.7109375" style="363" customWidth="1"/>
    <col min="7" max="8" width="10.7109375" style="363" customWidth="1"/>
    <col min="9" max="9" width="2.28125" style="363" customWidth="1"/>
    <col min="10" max="12" width="10.7109375" style="363" customWidth="1"/>
    <col min="13" max="13" width="9.8515625" style="363" bestFit="1" customWidth="1"/>
    <col min="14" max="14" width="9.140625" style="363" customWidth="1"/>
    <col min="15" max="15" width="25.7109375" style="363" bestFit="1" customWidth="1"/>
    <col min="16" max="16" width="8.421875" style="363" bestFit="1" customWidth="1"/>
    <col min="17" max="18" width="9.140625" style="363" customWidth="1"/>
    <col min="19" max="19" width="15.28125" style="363" customWidth="1"/>
    <col min="20" max="16384" width="9.140625" style="363" customWidth="1"/>
  </cols>
  <sheetData>
    <row r="1" ht="9" customHeight="1"/>
    <row r="2" spans="7:11" ht="18.75">
      <c r="G2" s="661" t="s">
        <v>316</v>
      </c>
      <c r="H2" s="662"/>
      <c r="I2" s="337"/>
      <c r="J2" s="661" t="s">
        <v>317</v>
      </c>
      <c r="K2" s="662"/>
    </row>
    <row r="3" spans="3:22" ht="18.75">
      <c r="C3" s="427"/>
      <c r="D3" s="427"/>
      <c r="G3" s="171"/>
      <c r="H3" s="443" t="str">
        <f>Simulatore!B70</f>
        <v>                  no</v>
      </c>
      <c r="I3" s="428"/>
      <c r="J3" s="171"/>
      <c r="K3" s="339" t="str">
        <f>Simulatore!B69</f>
        <v>                  no</v>
      </c>
      <c r="O3" s="363" t="s">
        <v>696</v>
      </c>
      <c r="P3" s="429">
        <v>500</v>
      </c>
      <c r="V3" s="429"/>
    </row>
    <row r="4" spans="2:22" ht="18.75">
      <c r="B4" s="363" t="s">
        <v>541</v>
      </c>
      <c r="C4" s="446">
        <f>A!G184</f>
        <v>0.22276310885714287</v>
      </c>
      <c r="D4" s="430"/>
      <c r="E4" s="363" t="s">
        <v>1</v>
      </c>
      <c r="G4" s="340">
        <f>A!G20</f>
        <v>20</v>
      </c>
      <c r="H4" s="171">
        <f>Simulatore!A70</f>
        <v>1</v>
      </c>
      <c r="I4" s="429"/>
      <c r="J4" s="340">
        <f>A!J20</f>
        <v>20</v>
      </c>
      <c r="K4" s="171">
        <f>Simulatore!A69</f>
        <v>1</v>
      </c>
      <c r="O4" s="363" t="s">
        <v>697</v>
      </c>
      <c r="P4" s="363">
        <v>5000</v>
      </c>
      <c r="V4" s="429"/>
    </row>
    <row r="5" spans="2:22" ht="18.75">
      <c r="B5" s="363" t="s">
        <v>174</v>
      </c>
      <c r="C5" s="363">
        <v>5</v>
      </c>
      <c r="D5" s="430"/>
      <c r="E5" s="363" t="s">
        <v>180</v>
      </c>
      <c r="G5" s="340">
        <f>IF(H4=1,0,IF(H4=2,$C$35,IF(H4=3,$C$36,IF(H4=4,$C$37,IF(H4=5,$C$38)))))</f>
        <v>0</v>
      </c>
      <c r="H5" s="434"/>
      <c r="I5" s="429"/>
      <c r="J5" s="340">
        <f>IF(K4=1,0,IF(K4=2,$C$35,IF(K4=3,$C$36,IF(K4=4,$C$37,IF(K4=5,$C$38)))))</f>
        <v>0</v>
      </c>
      <c r="K5" s="171"/>
      <c r="M5" s="429"/>
      <c r="O5" s="363" t="s">
        <v>698</v>
      </c>
      <c r="P5" s="433">
        <v>0.8</v>
      </c>
      <c r="V5" s="429"/>
    </row>
    <row r="6" spans="2:22" ht="18.75">
      <c r="B6" s="363" t="s">
        <v>542</v>
      </c>
      <c r="C6" s="363">
        <v>1.9</v>
      </c>
      <c r="D6" s="429"/>
      <c r="E6" s="363" t="s">
        <v>181</v>
      </c>
      <c r="G6" s="447">
        <f>IF(H4=1,0,IF(H4=2,$C$10,IF(H4=3,$C$10,IF(H4=4,$C$18,IF(H4=5,$C$26)))))</f>
        <v>0</v>
      </c>
      <c r="H6" s="448"/>
      <c r="I6" s="429"/>
      <c r="J6" s="447">
        <f>IF(K4=1,0,IF(K4=2,$C$10,IF(K4=3,$C$10,IF(K4=4,$C$18,IF(K4=5,$C$26)))))</f>
        <v>0</v>
      </c>
      <c r="K6" s="434"/>
      <c r="L6" s="429"/>
      <c r="M6" s="429"/>
      <c r="O6" s="363" t="s">
        <v>699</v>
      </c>
      <c r="P6" s="363">
        <f>P4*P5</f>
        <v>4000</v>
      </c>
      <c r="V6" s="431"/>
    </row>
    <row r="7" spans="2:22" ht="18.75">
      <c r="B7" s="363" t="s">
        <v>175</v>
      </c>
      <c r="C7" s="363">
        <v>15</v>
      </c>
      <c r="D7" s="429"/>
      <c r="E7" s="363" t="s">
        <v>182</v>
      </c>
      <c r="G7" s="447">
        <f>IF(H4=1,0,IF(H4=2,$C$11,IF(H4=3,$C$11,IF(H4=4,$C$19,IF(H4=5,$C$27)))))</f>
        <v>0</v>
      </c>
      <c r="H7" s="448"/>
      <c r="I7" s="429"/>
      <c r="J7" s="447">
        <f>IF(K4=1,0,IF(K4=2,$C$11,IF(K4=3,$C$11,IF(K4=4,$C$19,IF(K4=5,$C$27)))))</f>
        <v>0</v>
      </c>
      <c r="K7" s="434"/>
      <c r="O7" s="363" t="s">
        <v>449</v>
      </c>
      <c r="P7" s="363">
        <f>P3/P6</f>
        <v>0.125</v>
      </c>
      <c r="V7" s="429"/>
    </row>
    <row r="8" spans="2:22" ht="18.75">
      <c r="B8" s="363" t="s">
        <v>202</v>
      </c>
      <c r="C8" s="449">
        <v>11.6</v>
      </c>
      <c r="D8" s="429"/>
      <c r="E8" s="363" t="s">
        <v>169</v>
      </c>
      <c r="G8" s="448">
        <f>IF(H4=1,0,IF(H4=2,$C$12,IF(H4=3,$C$12,IF(H4=4,$C$20,IF(H4=5,$C$28)))))</f>
        <v>0</v>
      </c>
      <c r="H8" s="448">
        <f>G8*G4</f>
        <v>0</v>
      </c>
      <c r="J8" s="448">
        <f>IF(K4=1,0,IF(K4=2,$C$12,IF(K4=3,$C$12,IF(K4=4,$C$20,IF(K4=5,$C$28)))))</f>
        <v>0</v>
      </c>
      <c r="K8" s="448">
        <f>J8*J4</f>
        <v>0</v>
      </c>
      <c r="V8" s="429"/>
    </row>
    <row r="9" spans="4:22" ht="18.75">
      <c r="D9" s="429"/>
      <c r="E9" s="363" t="s">
        <v>543</v>
      </c>
      <c r="G9" s="448">
        <f>IF(H4=1,0,IF(H4=2,$C$13,IF(H4=3,$C$13,IF(H4=4,$C$21,IF(H4=5,$C$29)))))</f>
        <v>0</v>
      </c>
      <c r="H9" s="340">
        <f>G9*G4</f>
        <v>0</v>
      </c>
      <c r="J9" s="448">
        <f>IF(K4=1,0,IF(K4=2,$C$13,IF(K4=3,$C$13,IF(K4=4,$C$21,IF(K4=5,$C$29)))))</f>
        <v>0</v>
      </c>
      <c r="K9" s="340">
        <f>J9*J4</f>
        <v>0</v>
      </c>
      <c r="M9" s="429"/>
      <c r="V9" s="429"/>
    </row>
    <row r="10" spans="2:22" ht="18.75">
      <c r="B10" s="363" t="s">
        <v>172</v>
      </c>
      <c r="C10" s="430">
        <f>C4/C5</f>
        <v>0.044552621771428574</v>
      </c>
      <c r="E10" s="363" t="s">
        <v>46</v>
      </c>
      <c r="G10" s="448">
        <f>IF(H4=1,0,IF(H4=2,$C$14,IF(H4=3,$C$14,IF(H4=4,$C$22,IF(H4=5,$C$30)))))</f>
        <v>0</v>
      </c>
      <c r="H10" s="448">
        <f>G10*G4</f>
        <v>0</v>
      </c>
      <c r="J10" s="448">
        <f>IF(K4=1,0,IF(K4=2,$C$14,IF(K4=3,$C$14,IF(K4=4,$C$22,IF(K4=5,$C$30)))))</f>
        <v>0</v>
      </c>
      <c r="K10" s="448">
        <f>J10*J4</f>
        <v>0</v>
      </c>
      <c r="V10" s="429"/>
    </row>
    <row r="11" spans="2:22" ht="18.75">
      <c r="B11" s="363" t="s">
        <v>171</v>
      </c>
      <c r="C11" s="430">
        <f>C6/C7</f>
        <v>0.12666666666666665</v>
      </c>
      <c r="D11" s="430"/>
      <c r="E11" s="363" t="s">
        <v>61</v>
      </c>
      <c r="G11" s="448">
        <f>IF(H4=1,0,IF(H4=2,$C$15,IF(H4=3,$C$15,IF(H4=4,$C$23,IF(H4=5,$C$31)))))</f>
        <v>0</v>
      </c>
      <c r="H11" s="448">
        <f>G11*G4</f>
        <v>0</v>
      </c>
      <c r="J11" s="448">
        <f>IF(K4=1,0,IF(K4=2,$C$15,IF(K4=3,$C$15,IF(K4=4,$C$23,IF(K4=5,$C$31)))))</f>
        <v>0</v>
      </c>
      <c r="K11" s="448">
        <f>J11*J4</f>
        <v>0</v>
      </c>
      <c r="V11" s="429"/>
    </row>
    <row r="12" spans="2:22" ht="18.75">
      <c r="B12" s="363" t="s">
        <v>169</v>
      </c>
      <c r="C12" s="428">
        <v>10000</v>
      </c>
      <c r="D12" s="432"/>
      <c r="E12" s="363" t="s">
        <v>53</v>
      </c>
      <c r="G12" s="450">
        <f>IF(H4=1,0,IF(H4=2,$C$16,IF(H4=3,$C$16,IF(H4=4,$C$24,IF(H4=5,$C$32)))))</f>
        <v>0</v>
      </c>
      <c r="H12" s="448"/>
      <c r="J12" s="450">
        <f>IF(K4=1,0,IF(K4=2,$C$16,IF(K4=3,$C$16,IF(K4=4,$C$24,IF(K4=5,$C$32)))))</f>
        <v>0</v>
      </c>
      <c r="K12" s="434"/>
      <c r="V12" s="429"/>
    </row>
    <row r="13" spans="2:22" ht="18.75">
      <c r="B13" s="363" t="s">
        <v>173</v>
      </c>
      <c r="C13" s="429">
        <f>C11*C12</f>
        <v>1266.6666666666665</v>
      </c>
      <c r="D13" s="429"/>
      <c r="E13" s="363" t="s">
        <v>53</v>
      </c>
      <c r="G13" s="434">
        <f>G11*G12</f>
        <v>0</v>
      </c>
      <c r="H13" s="448">
        <f>G13*G4</f>
        <v>0</v>
      </c>
      <c r="J13" s="434">
        <f>J11*J12</f>
        <v>0</v>
      </c>
      <c r="K13" s="448">
        <f>J13*J4</f>
        <v>0</v>
      </c>
      <c r="V13" s="429"/>
    </row>
    <row r="14" spans="2:22" ht="18.75">
      <c r="B14" s="363" t="s">
        <v>46</v>
      </c>
      <c r="C14" s="429">
        <f>C10*C12</f>
        <v>445.52621771428574</v>
      </c>
      <c r="D14" s="429"/>
      <c r="G14" s="434"/>
      <c r="H14" s="434"/>
      <c r="J14" s="434"/>
      <c r="K14" s="434"/>
      <c r="V14" s="429"/>
    </row>
    <row r="15" spans="2:11" ht="18.75">
      <c r="B15" s="363" t="s">
        <v>61</v>
      </c>
      <c r="C15" s="429">
        <f>C14/C4</f>
        <v>2000</v>
      </c>
      <c r="D15" s="429"/>
      <c r="E15" s="445" t="s">
        <v>203</v>
      </c>
      <c r="G15" s="448">
        <f>G9/$C$6*$C$8</f>
        <v>0</v>
      </c>
      <c r="H15" s="448">
        <f>G15*G4</f>
        <v>0</v>
      </c>
      <c r="J15" s="448">
        <f>J9/$C$6*$C$8</f>
        <v>0</v>
      </c>
      <c r="K15" s="448">
        <f>J15*J4</f>
        <v>0</v>
      </c>
    </row>
    <row r="16" spans="2:11" ht="18.75">
      <c r="B16" s="363" t="s">
        <v>53</v>
      </c>
      <c r="C16" s="451">
        <v>0.1</v>
      </c>
      <c r="D16" s="429"/>
      <c r="E16" s="452" t="s">
        <v>204</v>
      </c>
      <c r="G16" s="448">
        <f>G11</f>
        <v>0</v>
      </c>
      <c r="H16" s="448">
        <f>G11*G4</f>
        <v>0</v>
      </c>
      <c r="J16" s="448">
        <f>J11</f>
        <v>0</v>
      </c>
      <c r="K16" s="448">
        <f>J11*J4</f>
        <v>0</v>
      </c>
    </row>
    <row r="17" spans="4:15" ht="18.75">
      <c r="D17" s="433"/>
      <c r="G17" s="434"/>
      <c r="H17" s="434"/>
      <c r="J17" s="434"/>
      <c r="K17" s="434"/>
      <c r="O17" s="429"/>
    </row>
    <row r="18" spans="2:15" ht="18.75">
      <c r="B18" s="363" t="s">
        <v>176</v>
      </c>
      <c r="C18" s="430">
        <f>C10/2</f>
        <v>0.022276310885714287</v>
      </c>
      <c r="E18" s="363" t="s">
        <v>710</v>
      </c>
      <c r="G18" s="448">
        <f>A!G69</f>
        <v>421648.35164835164</v>
      </c>
      <c r="H18" s="434"/>
      <c r="J18" s="448">
        <f>A!J69</f>
        <v>421648.35164835164</v>
      </c>
      <c r="K18" s="434"/>
      <c r="O18" s="429"/>
    </row>
    <row r="19" spans="2:15" ht="18.75">
      <c r="B19" s="363" t="s">
        <v>177</v>
      </c>
      <c r="C19" s="432">
        <f>C11/2</f>
        <v>0.06333333333333332</v>
      </c>
      <c r="D19" s="430"/>
      <c r="E19" s="363" t="s">
        <v>709</v>
      </c>
      <c r="G19" s="448">
        <f>A!G72</f>
        <v>284048.35164835164</v>
      </c>
      <c r="H19" s="434"/>
      <c r="J19" s="448">
        <f>A!J72</f>
        <v>282448.35164835164</v>
      </c>
      <c r="K19" s="434"/>
      <c r="O19" s="433"/>
    </row>
    <row r="20" spans="2:11" ht="18.75">
      <c r="B20" s="363" t="s">
        <v>169</v>
      </c>
      <c r="C20" s="428">
        <v>4000</v>
      </c>
      <c r="D20" s="430"/>
      <c r="E20" s="363" t="s">
        <v>705</v>
      </c>
      <c r="G20" s="448">
        <f>G18-G19</f>
        <v>137600</v>
      </c>
      <c r="H20" s="434"/>
      <c r="J20" s="448">
        <f>J18-J19</f>
        <v>139200</v>
      </c>
      <c r="K20" s="434"/>
    </row>
    <row r="21" spans="2:11" ht="18.75">
      <c r="B21" s="363" t="s">
        <v>173</v>
      </c>
      <c r="C21" s="429">
        <f>C20*C19</f>
        <v>253.3333333333333</v>
      </c>
      <c r="D21" s="429"/>
      <c r="E21" s="363" t="s">
        <v>706</v>
      </c>
      <c r="G21" s="453">
        <f>G20/1160</f>
        <v>118.62068965517241</v>
      </c>
      <c r="H21" s="434"/>
      <c r="J21" s="453">
        <f>J20/1160</f>
        <v>120</v>
      </c>
      <c r="K21" s="434"/>
    </row>
    <row r="22" spans="2:11" ht="18.75">
      <c r="B22" s="363" t="s">
        <v>46</v>
      </c>
      <c r="C22" s="429">
        <f>C20*C18</f>
        <v>89.10524354285715</v>
      </c>
      <c r="D22" s="429"/>
      <c r="E22" s="363" t="s">
        <v>701</v>
      </c>
      <c r="G22" s="454">
        <f>G21/G4</f>
        <v>5.931034482758621</v>
      </c>
      <c r="H22" s="434"/>
      <c r="J22" s="453">
        <f>J21/J4</f>
        <v>6</v>
      </c>
      <c r="K22" s="434"/>
    </row>
    <row r="23" spans="2:11" ht="18.75">
      <c r="B23" s="363" t="s">
        <v>61</v>
      </c>
      <c r="C23" s="429">
        <f>C22/C4</f>
        <v>400</v>
      </c>
      <c r="D23" s="429"/>
      <c r="E23" s="363" t="s">
        <v>703</v>
      </c>
      <c r="G23" s="455">
        <v>1.1</v>
      </c>
      <c r="H23" s="434"/>
      <c r="J23" s="455">
        <v>1.1</v>
      </c>
      <c r="K23" s="448"/>
    </row>
    <row r="24" spans="2:11" ht="18.75">
      <c r="B24" s="363" t="s">
        <v>53</v>
      </c>
      <c r="C24" s="451">
        <v>0.1</v>
      </c>
      <c r="D24" s="429"/>
      <c r="E24" s="363" t="s">
        <v>704</v>
      </c>
      <c r="G24" s="456">
        <v>22</v>
      </c>
      <c r="H24" s="434"/>
      <c r="J24" s="456">
        <v>22</v>
      </c>
      <c r="K24" s="448"/>
    </row>
    <row r="25" spans="4:11" ht="18.75">
      <c r="D25" s="433"/>
      <c r="E25" s="363" t="s">
        <v>707</v>
      </c>
      <c r="G25" s="456">
        <f>G21*G23</f>
        <v>130.48275862068965</v>
      </c>
      <c r="H25" s="434"/>
      <c r="I25" s="434"/>
      <c r="J25" s="456">
        <f>J21*J23</f>
        <v>132</v>
      </c>
      <c r="K25" s="429"/>
    </row>
    <row r="26" spans="2:10" ht="18.75">
      <c r="B26" s="363" t="s">
        <v>178</v>
      </c>
      <c r="C26" s="430">
        <f>C18/2</f>
        <v>0.011138155442857144</v>
      </c>
      <c r="E26" s="363" t="s">
        <v>708</v>
      </c>
      <c r="G26" s="456">
        <f>G22*G24</f>
        <v>130.48275862068965</v>
      </c>
      <c r="H26" s="434"/>
      <c r="I26" s="434"/>
      <c r="J26" s="456">
        <f>J22*J24</f>
        <v>132</v>
      </c>
    </row>
    <row r="27" spans="2:7" ht="18.75">
      <c r="B27" s="363" t="s">
        <v>179</v>
      </c>
      <c r="C27" s="430">
        <f>C19/2</f>
        <v>0.03166666666666666</v>
      </c>
      <c r="G27" s="429"/>
    </row>
    <row r="28" spans="2:7" ht="18.75">
      <c r="B28" s="363" t="s">
        <v>169</v>
      </c>
      <c r="C28" s="428">
        <v>2000</v>
      </c>
      <c r="G28" s="429"/>
    </row>
    <row r="29" spans="2:8" ht="18.75">
      <c r="B29" s="363" t="s">
        <v>173</v>
      </c>
      <c r="C29" s="429">
        <f>C28*C27</f>
        <v>63.33333333333332</v>
      </c>
      <c r="E29" s="337" t="s">
        <v>714</v>
      </c>
      <c r="G29" s="435">
        <f>G33*G32</f>
        <v>30.137931034482758</v>
      </c>
      <c r="H29" s="436"/>
    </row>
    <row r="30" spans="2:8" ht="18.75">
      <c r="B30" s="363" t="s">
        <v>46</v>
      </c>
      <c r="C30" s="429">
        <f>C28*C26</f>
        <v>22.276310885714288</v>
      </c>
      <c r="E30" s="363" t="s">
        <v>712</v>
      </c>
      <c r="G30" s="437">
        <v>1000</v>
      </c>
      <c r="H30" s="436"/>
    </row>
    <row r="31" spans="2:8" ht="18.75">
      <c r="B31" s="363" t="s">
        <v>61</v>
      </c>
      <c r="C31" s="429">
        <f>C30/C4</f>
        <v>100</v>
      </c>
      <c r="E31" s="363" t="s">
        <v>716</v>
      </c>
      <c r="G31" s="438">
        <f>G30/11600*2.3</f>
        <v>0.19827586206896552</v>
      </c>
      <c r="H31" s="436"/>
    </row>
    <row r="32" spans="2:8" ht="18.75">
      <c r="B32" s="363" t="s">
        <v>53</v>
      </c>
      <c r="C32" s="451">
        <v>0.1</v>
      </c>
      <c r="E32" s="363" t="s">
        <v>717</v>
      </c>
      <c r="G32" s="439">
        <f>G4*G31</f>
        <v>3.9655172413793105</v>
      </c>
      <c r="H32" s="436"/>
    </row>
    <row r="33" spans="5:8" ht="18.75">
      <c r="E33" s="363" t="s">
        <v>715</v>
      </c>
      <c r="G33" s="437">
        <v>7.6</v>
      </c>
      <c r="H33" s="436"/>
    </row>
    <row r="34" spans="1:8" ht="18.75">
      <c r="A34" s="363">
        <v>1</v>
      </c>
      <c r="B34" s="440" t="s">
        <v>51</v>
      </c>
      <c r="C34" s="429">
        <f>Simulatore!C72</f>
        <v>0.1</v>
      </c>
      <c r="G34" s="436"/>
      <c r="H34" s="436"/>
    </row>
    <row r="35" spans="1:14" ht="18.75">
      <c r="A35" s="363">
        <v>2</v>
      </c>
      <c r="B35" s="440" t="s">
        <v>56</v>
      </c>
      <c r="C35" s="429">
        <f>Simulatore!C73</f>
        <v>23300</v>
      </c>
      <c r="E35" s="337" t="s">
        <v>722</v>
      </c>
      <c r="G35" s="441">
        <f>G40*G39</f>
        <v>49.6551724137931</v>
      </c>
      <c r="H35" s="436"/>
      <c r="N35" s="429"/>
    </row>
    <row r="36" spans="1:8" ht="18.75">
      <c r="A36" s="363">
        <v>3</v>
      </c>
      <c r="B36" s="434" t="s">
        <v>57</v>
      </c>
      <c r="C36" s="429">
        <f>Simulatore!C74</f>
        <v>18000</v>
      </c>
      <c r="E36" s="363" t="s">
        <v>658</v>
      </c>
      <c r="G36" s="363">
        <v>4</v>
      </c>
      <c r="H36" s="436"/>
    </row>
    <row r="37" spans="1:7" ht="18.75">
      <c r="A37" s="363">
        <v>4</v>
      </c>
      <c r="B37" s="440" t="s">
        <v>58</v>
      </c>
      <c r="C37" s="429">
        <f>Simulatore!C75</f>
        <v>6000</v>
      </c>
      <c r="E37" s="363" t="s">
        <v>718</v>
      </c>
      <c r="G37" s="363">
        <v>18000</v>
      </c>
    </row>
    <row r="38" spans="1:8" ht="18.75">
      <c r="A38" s="363">
        <v>5</v>
      </c>
      <c r="B38" s="440" t="s">
        <v>59</v>
      </c>
      <c r="C38" s="429">
        <f>Simulatore!C76</f>
        <v>800</v>
      </c>
      <c r="E38" s="363" t="s">
        <v>719</v>
      </c>
      <c r="G38" s="429">
        <f>G36*G37</f>
        <v>72000</v>
      </c>
      <c r="H38" s="436"/>
    </row>
    <row r="39" spans="5:8" ht="18.75">
      <c r="E39" s="363" t="s">
        <v>711</v>
      </c>
      <c r="G39" s="442">
        <f>G38/11600</f>
        <v>6.206896551724138</v>
      </c>
      <c r="H39" s="436"/>
    </row>
    <row r="40" spans="5:8" ht="18.75">
      <c r="E40" s="363" t="s">
        <v>715</v>
      </c>
      <c r="G40" s="437">
        <v>8</v>
      </c>
      <c r="H40" s="436"/>
    </row>
    <row r="41" ht="18.75">
      <c r="H41" s="436"/>
    </row>
    <row r="42" spans="5:8" ht="18.75">
      <c r="E42" s="337" t="s">
        <v>713</v>
      </c>
      <c r="G42" s="443">
        <f>G46*G47</f>
        <v>99.93103448275863</v>
      </c>
      <c r="H42" s="436"/>
    </row>
    <row r="43" spans="1:7" ht="18.75">
      <c r="A43" s="363">
        <v>3</v>
      </c>
      <c r="E43" s="363" t="s">
        <v>720</v>
      </c>
      <c r="G43" s="363">
        <v>90</v>
      </c>
    </row>
    <row r="44" spans="5:7" ht="18.75">
      <c r="E44" s="363" t="s">
        <v>166</v>
      </c>
      <c r="G44" s="429">
        <v>120</v>
      </c>
    </row>
    <row r="45" spans="5:7" ht="18.75">
      <c r="E45" s="363" t="s">
        <v>721</v>
      </c>
      <c r="G45" s="444">
        <f>G43*G44*20-G38</f>
        <v>144000</v>
      </c>
    </row>
    <row r="46" spans="5:7" ht="18.75">
      <c r="E46" s="363" t="s">
        <v>711</v>
      </c>
      <c r="G46" s="444">
        <f>G45/11600</f>
        <v>12.413793103448276</v>
      </c>
    </row>
    <row r="47" spans="5:7" ht="18.75">
      <c r="E47" s="363" t="s">
        <v>715</v>
      </c>
      <c r="G47" s="437">
        <v>8.05</v>
      </c>
    </row>
    <row r="52" spans="5:10" ht="18.75">
      <c r="E52" s="427"/>
      <c r="H52" s="434"/>
      <c r="J52" s="445"/>
    </row>
  </sheetData>
  <sheetProtection password="D412" sheet="1" selectLockedCells="1" selectUnlockedCells="1"/>
  <mergeCells count="2">
    <mergeCell ref="G2:H2"/>
    <mergeCell ref="J2:K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AB194"/>
  <sheetViews>
    <sheetView showGridLines="0" showRowColHeaders="0" zoomScalePageLayoutView="0" workbookViewId="0" topLeftCell="A1">
      <selection activeCell="A195" sqref="A195"/>
    </sheetView>
  </sheetViews>
  <sheetFormatPr defaultColWidth="9.140625" defaultRowHeight="15"/>
  <cols>
    <col min="1" max="1" width="19.00390625" style="460" customWidth="1"/>
    <col min="2" max="9" width="10.7109375" style="460" customWidth="1"/>
    <col min="10" max="10" width="7.00390625" style="460" customWidth="1"/>
    <col min="11" max="11" width="9.57421875" style="460" customWidth="1"/>
    <col min="12" max="12" width="11.421875" style="460" customWidth="1"/>
    <col min="13" max="13" width="11.7109375" style="460" customWidth="1"/>
    <col min="14" max="15" width="11.28125" style="460" customWidth="1"/>
    <col min="16" max="16" width="14.140625" style="460" customWidth="1"/>
    <col min="17" max="17" width="13.28125" style="460" customWidth="1"/>
    <col min="18" max="18" width="12.57421875" style="460" customWidth="1"/>
    <col min="19" max="19" width="11.00390625" style="460" customWidth="1"/>
    <col min="20" max="20" width="11.421875" style="460" customWidth="1"/>
    <col min="21" max="21" width="13.00390625" style="460" customWidth="1"/>
    <col min="22" max="22" width="12.57421875" style="460" customWidth="1"/>
    <col min="23" max="23" width="13.7109375" style="460" customWidth="1"/>
    <col min="24" max="24" width="12.00390625" style="460" customWidth="1"/>
    <col min="25" max="25" width="14.8515625" style="460" customWidth="1"/>
    <col min="26" max="26" width="11.28125" style="460" customWidth="1"/>
    <col min="27" max="16384" width="9.140625" style="460" customWidth="1"/>
  </cols>
  <sheetData>
    <row r="2" spans="11:25" ht="25.5" customHeight="1">
      <c r="K2" s="484">
        <f>P4/R10</f>
        <v>1.5714285714285714</v>
      </c>
      <c r="L2" s="755" t="s">
        <v>142</v>
      </c>
      <c r="M2" s="755"/>
      <c r="N2" s="755"/>
      <c r="O2" s="755"/>
      <c r="P2" s="755"/>
      <c r="Q2" s="755"/>
      <c r="R2" s="755"/>
      <c r="S2" s="755"/>
      <c r="T2" s="755"/>
      <c r="U2" s="755"/>
      <c r="V2" s="755"/>
      <c r="W2" s="755"/>
      <c r="X2" s="755"/>
      <c r="Y2" s="755"/>
    </row>
    <row r="3" spans="1:25" s="486" customFormat="1" ht="35.25" customHeight="1">
      <c r="A3" s="485" t="s">
        <v>70</v>
      </c>
      <c r="K3" s="487">
        <f>100%+K6</f>
        <v>1.2857142857142856</v>
      </c>
      <c r="L3" s="488" t="s">
        <v>125</v>
      </c>
      <c r="M3" s="488" t="s">
        <v>126</v>
      </c>
      <c r="N3" s="488" t="s">
        <v>139</v>
      </c>
      <c r="O3" s="488" t="s">
        <v>140</v>
      </c>
      <c r="P3" s="488" t="s">
        <v>128</v>
      </c>
      <c r="Q3" s="488" t="s">
        <v>155</v>
      </c>
      <c r="R3" s="488" t="s">
        <v>130</v>
      </c>
      <c r="S3" s="488" t="s">
        <v>131</v>
      </c>
      <c r="T3" s="488" t="s">
        <v>132</v>
      </c>
      <c r="U3" s="488" t="s">
        <v>135</v>
      </c>
      <c r="V3" s="488" t="s">
        <v>133</v>
      </c>
      <c r="W3" s="488" t="s">
        <v>134</v>
      </c>
      <c r="X3" s="489" t="s">
        <v>136</v>
      </c>
      <c r="Y3" s="489" t="s">
        <v>137</v>
      </c>
    </row>
    <row r="4" spans="1:25" s="486" customFormat="1" ht="12.75" customHeight="1">
      <c r="A4" s="460" t="s">
        <v>71</v>
      </c>
      <c r="K4" s="487">
        <f>K2-100%</f>
        <v>0.5714285714285714</v>
      </c>
      <c r="L4" s="477">
        <f>Simulatore!E16</f>
        <v>5</v>
      </c>
      <c r="M4" s="477">
        <f>Simulatore!AN16</f>
        <v>1100</v>
      </c>
      <c r="N4" s="478">
        <f>A!G14</f>
        <v>0.09</v>
      </c>
      <c r="O4" s="478">
        <f>A!G15</f>
        <v>0</v>
      </c>
      <c r="P4" s="477">
        <f>L4*M4</f>
        <v>5500</v>
      </c>
      <c r="Q4" s="477">
        <f>A!G22</f>
        <v>105600</v>
      </c>
      <c r="R4" s="479">
        <f>(W10*Simulatore!E29)-(X10*Simulatore!E29)</f>
        <v>6669.72040625</v>
      </c>
      <c r="S4" s="479">
        <f>Q4*N4*(100%-T10)</f>
        <v>6194.571428571428</v>
      </c>
      <c r="T4" s="479">
        <f>Q4*O4*T10</f>
        <v>0</v>
      </c>
      <c r="U4" s="479">
        <f>R4+S4+T4</f>
        <v>12864.29183482143</v>
      </c>
      <c r="V4" s="479" t="e">
        <f>C!#REF!</f>
        <v>#REF!</v>
      </c>
      <c r="W4" s="479" t="e">
        <f>A!#REF!</f>
        <v>#REF!</v>
      </c>
      <c r="X4" s="480" t="e">
        <f>U4-V4-W4</f>
        <v>#REF!</v>
      </c>
      <c r="Y4" s="490" t="e">
        <f>V4/(U4/20)</f>
        <v>#REF!</v>
      </c>
    </row>
    <row r="5" spans="12:25" ht="14.25" customHeight="1">
      <c r="L5" s="462" t="s">
        <v>36</v>
      </c>
      <c r="M5" s="462" t="s">
        <v>127</v>
      </c>
      <c r="N5" s="462" t="s">
        <v>138</v>
      </c>
      <c r="O5" s="462" t="s">
        <v>138</v>
      </c>
      <c r="P5" s="462" t="s">
        <v>83</v>
      </c>
      <c r="Q5" s="462" t="s">
        <v>129</v>
      </c>
      <c r="R5" s="462" t="s">
        <v>138</v>
      </c>
      <c r="S5" s="462" t="s">
        <v>138</v>
      </c>
      <c r="T5" s="462" t="s">
        <v>138</v>
      </c>
      <c r="U5" s="462" t="s">
        <v>138</v>
      </c>
      <c r="V5" s="462" t="s">
        <v>138</v>
      </c>
      <c r="W5" s="462" t="s">
        <v>138</v>
      </c>
      <c r="X5" s="462" t="s">
        <v>138</v>
      </c>
      <c r="Y5" s="491" t="s">
        <v>1</v>
      </c>
    </row>
    <row r="6" spans="1:28" ht="23.25" customHeight="1">
      <c r="A6" s="457" t="s">
        <v>72</v>
      </c>
      <c r="B6" s="492"/>
      <c r="K6" s="484">
        <f>K4/2</f>
        <v>0.2857142857142857</v>
      </c>
      <c r="L6" s="756" t="s">
        <v>84</v>
      </c>
      <c r="M6" s="756"/>
      <c r="N6" s="756"/>
      <c r="O6" s="756"/>
      <c r="P6" s="756" t="s">
        <v>85</v>
      </c>
      <c r="Q6" s="756"/>
      <c r="R6" s="756"/>
      <c r="S6" s="756"/>
      <c r="T6" s="757"/>
      <c r="U6" s="757"/>
      <c r="V6" s="757"/>
      <c r="W6" s="757"/>
      <c r="X6" s="757"/>
      <c r="Y6" s="757"/>
      <c r="Z6" s="462"/>
      <c r="AA6" s="462"/>
      <c r="AB6" s="462"/>
    </row>
    <row r="7" spans="1:28" ht="23.25" customHeight="1">
      <c r="A7" s="457"/>
      <c r="B7" s="492"/>
      <c r="K7" s="459"/>
      <c r="L7" s="458"/>
      <c r="M7" s="458"/>
      <c r="N7" s="458"/>
      <c r="O7" s="458"/>
      <c r="P7" s="458"/>
      <c r="Q7" s="458"/>
      <c r="R7" s="458"/>
      <c r="S7" s="458"/>
      <c r="T7" s="258"/>
      <c r="U7" s="258"/>
      <c r="V7" s="258"/>
      <c r="W7" s="258"/>
      <c r="X7" s="258"/>
      <c r="Y7" s="258"/>
      <c r="Z7" s="462"/>
      <c r="AA7" s="462"/>
      <c r="AB7" s="462"/>
    </row>
    <row r="8" spans="1:25" ht="25.5" customHeight="1">
      <c r="A8" s="459"/>
      <c r="H8" s="460">
        <v>0</v>
      </c>
      <c r="Q8" s="755" t="s">
        <v>143</v>
      </c>
      <c r="R8" s="755"/>
      <c r="S8" s="755"/>
      <c r="T8" s="755"/>
      <c r="U8" s="755"/>
      <c r="V8" s="755"/>
      <c r="W8" s="755"/>
      <c r="X8" s="755"/>
      <c r="Y8" s="755"/>
    </row>
    <row r="9" spans="1:25" ht="38.25">
      <c r="A9" s="457" t="s">
        <v>73</v>
      </c>
      <c r="B9" s="457"/>
      <c r="C9" s="457"/>
      <c r="D9" s="457"/>
      <c r="E9" s="457"/>
      <c r="F9" s="457"/>
      <c r="G9" s="460">
        <v>1800</v>
      </c>
      <c r="L9" s="460">
        <v>1800</v>
      </c>
      <c r="Q9" s="493" t="s">
        <v>74</v>
      </c>
      <c r="R9" s="493" t="s">
        <v>75</v>
      </c>
      <c r="S9" s="493" t="s">
        <v>141</v>
      </c>
      <c r="T9" s="493" t="s">
        <v>76</v>
      </c>
      <c r="U9" s="493" t="s">
        <v>77</v>
      </c>
      <c r="V9" s="493" t="s">
        <v>78</v>
      </c>
      <c r="W9" s="493" t="s">
        <v>79</v>
      </c>
      <c r="X9" s="493" t="s">
        <v>80</v>
      </c>
      <c r="Y9" s="493" t="s">
        <v>81</v>
      </c>
    </row>
    <row r="10" spans="1:26" ht="25.5" customHeight="1">
      <c r="A10" s="758" t="s">
        <v>899</v>
      </c>
      <c r="B10" s="742"/>
      <c r="C10" s="742"/>
      <c r="D10" s="742"/>
      <c r="E10" s="742"/>
      <c r="F10" s="742"/>
      <c r="G10" s="460">
        <v>840</v>
      </c>
      <c r="H10" s="460">
        <f>IF(I10&gt;=H8,I10,H8)</f>
        <v>1700</v>
      </c>
      <c r="I10" s="461">
        <f>R10-G9</f>
        <v>1700</v>
      </c>
      <c r="J10" s="460">
        <v>2640</v>
      </c>
      <c r="L10" s="460">
        <v>840</v>
      </c>
      <c r="M10" s="460">
        <f>IF(N10&gt;=U24,N10,U24)</f>
        <v>481.25</v>
      </c>
      <c r="N10" s="461">
        <f>Y10-L9</f>
        <v>481.25</v>
      </c>
      <c r="O10" s="460">
        <v>2640</v>
      </c>
      <c r="Q10" s="494">
        <f>Simulatore!C11</f>
        <v>3</v>
      </c>
      <c r="R10" s="483">
        <f>Simulatore!C12</f>
        <v>3500</v>
      </c>
      <c r="S10" s="481">
        <v>0.4</v>
      </c>
      <c r="T10" s="481">
        <f>A!H18</f>
        <v>0.3482142857142857</v>
      </c>
      <c r="U10" s="482">
        <f>IF(Q10&lt;=3.3,R24,R37)</f>
        <v>0.22276310885714287</v>
      </c>
      <c r="V10" s="482">
        <f>IF(Q10&lt;=3.3,AB24,AB37)</f>
        <v>0.1955878841369863</v>
      </c>
      <c r="W10" s="483">
        <f>R10*U10</f>
        <v>779.670881</v>
      </c>
      <c r="X10" s="483">
        <f>V10*Y10</f>
        <v>446.1848606875</v>
      </c>
      <c r="Y10" s="483">
        <f>R10*(100%-T10)</f>
        <v>2281.25</v>
      </c>
      <c r="Z10" s="460">
        <v>2056</v>
      </c>
    </row>
    <row r="11" spans="1:18" ht="12.75" customHeight="1">
      <c r="A11" s="495" t="s">
        <v>900</v>
      </c>
      <c r="B11" s="457"/>
      <c r="C11" s="457"/>
      <c r="D11" s="457"/>
      <c r="E11" s="457"/>
      <c r="F11" s="457"/>
      <c r="G11" s="460">
        <v>1800</v>
      </c>
      <c r="H11" s="460">
        <f>IF(I11&gt;=H8,I11,H8)</f>
        <v>860</v>
      </c>
      <c r="I11" s="460">
        <f>R10-J10</f>
        <v>860</v>
      </c>
      <c r="J11" s="460">
        <v>4440</v>
      </c>
      <c r="L11" s="460">
        <v>1800</v>
      </c>
      <c r="M11" s="460">
        <f>IF(N11&gt;=U24,N11,U24)</f>
        <v>0</v>
      </c>
      <c r="N11" s="461">
        <f>Y10-O10</f>
        <v>-358.75</v>
      </c>
      <c r="O11" s="460">
        <v>4440</v>
      </c>
      <c r="Q11" s="462" t="s">
        <v>82</v>
      </c>
      <c r="R11" s="462" t="s">
        <v>83</v>
      </c>
    </row>
    <row r="12" spans="1:25" ht="24" customHeight="1">
      <c r="A12" s="495" t="s">
        <v>901</v>
      </c>
      <c r="B12" s="457"/>
      <c r="C12" s="457"/>
      <c r="D12" s="457"/>
      <c r="E12" s="457"/>
      <c r="F12" s="457"/>
      <c r="G12" s="460">
        <f>R10-J11</f>
        <v>-940</v>
      </c>
      <c r="H12" s="460">
        <f>IF(I11&gt;=H8,I11,H8)</f>
        <v>860</v>
      </c>
      <c r="L12" s="461">
        <f>Y10-O11</f>
        <v>-2158.75</v>
      </c>
      <c r="M12" s="460">
        <f>IF(N11&gt;=U24,N11,U24)</f>
        <v>0</v>
      </c>
      <c r="Q12" s="756" t="s">
        <v>84</v>
      </c>
      <c r="R12" s="757"/>
      <c r="S12" s="757"/>
      <c r="T12" s="757"/>
      <c r="U12" s="756" t="s">
        <v>85</v>
      </c>
      <c r="V12" s="757"/>
      <c r="W12" s="757"/>
      <c r="X12" s="757"/>
      <c r="Y12" s="757"/>
    </row>
    <row r="14" ht="15" customHeight="1">
      <c r="A14" s="496" t="s">
        <v>86</v>
      </c>
    </row>
    <row r="15" ht="12" customHeight="1">
      <c r="A15" s="497"/>
    </row>
    <row r="16" spans="1:18" ht="18.75">
      <c r="A16" s="463"/>
      <c r="B16" s="749" t="s">
        <v>87</v>
      </c>
      <c r="C16" s="749"/>
      <c r="D16" s="749"/>
      <c r="E16" s="750" t="s">
        <v>88</v>
      </c>
      <c r="F16" s="750" t="s">
        <v>89</v>
      </c>
      <c r="G16" s="749" t="s">
        <v>90</v>
      </c>
      <c r="H16" s="749"/>
      <c r="I16" s="749"/>
      <c r="K16" s="497"/>
      <c r="O16" s="497"/>
      <c r="P16" s="498" t="s">
        <v>91</v>
      </c>
      <c r="Q16" s="499">
        <v>3</v>
      </c>
      <c r="R16" s="497" t="s">
        <v>82</v>
      </c>
    </row>
    <row r="17" spans="1:22" ht="12.75">
      <c r="A17" s="463"/>
      <c r="B17" s="473" t="s">
        <v>92</v>
      </c>
      <c r="C17" s="754" t="s">
        <v>93</v>
      </c>
      <c r="D17" s="754"/>
      <c r="E17" s="750"/>
      <c r="F17" s="750"/>
      <c r="G17" s="473" t="s">
        <v>92</v>
      </c>
      <c r="H17" s="754" t="s">
        <v>93</v>
      </c>
      <c r="I17" s="754"/>
      <c r="K17" s="462" t="s">
        <v>94</v>
      </c>
      <c r="L17" s="462" t="s">
        <v>95</v>
      </c>
      <c r="U17" s="462" t="s">
        <v>94</v>
      </c>
      <c r="V17" s="462" t="s">
        <v>95</v>
      </c>
    </row>
    <row r="18" spans="1:28" ht="38.25" customHeight="1">
      <c r="A18" s="500" t="s">
        <v>96</v>
      </c>
      <c r="B18" s="473" t="s">
        <v>97</v>
      </c>
      <c r="C18" s="473" t="s">
        <v>98</v>
      </c>
      <c r="D18" s="473" t="s">
        <v>99</v>
      </c>
      <c r="E18" s="473" t="s">
        <v>97</v>
      </c>
      <c r="F18" s="473" t="s">
        <v>97</v>
      </c>
      <c r="G18" s="473" t="s">
        <v>97</v>
      </c>
      <c r="H18" s="473" t="s">
        <v>98</v>
      </c>
      <c r="I18" s="473" t="s">
        <v>99</v>
      </c>
      <c r="J18" s="501"/>
      <c r="K18" s="464">
        <f>S10</f>
        <v>0.4</v>
      </c>
      <c r="L18" s="465">
        <f>100%-$K$18</f>
        <v>0.6</v>
      </c>
      <c r="M18" s="460" t="s">
        <v>94</v>
      </c>
      <c r="N18" s="460" t="s">
        <v>95</v>
      </c>
      <c r="O18" s="460" t="s">
        <v>100</v>
      </c>
      <c r="P18" s="466" t="s">
        <v>101</v>
      </c>
      <c r="Q18" s="466" t="s">
        <v>102</v>
      </c>
      <c r="R18" s="466" t="s">
        <v>103</v>
      </c>
      <c r="T18" s="501"/>
      <c r="U18" s="464">
        <v>0.4</v>
      </c>
      <c r="V18" s="465">
        <f>100%-U18</f>
        <v>0.6</v>
      </c>
      <c r="W18" s="460" t="s">
        <v>94</v>
      </c>
      <c r="X18" s="460" t="s">
        <v>95</v>
      </c>
      <c r="Y18" s="460" t="s">
        <v>100</v>
      </c>
      <c r="Z18" s="466" t="s">
        <v>101</v>
      </c>
      <c r="AA18" s="466" t="s">
        <v>102</v>
      </c>
      <c r="AB18" s="466" t="s">
        <v>103</v>
      </c>
    </row>
    <row r="19" spans="1:25" ht="12.75">
      <c r="A19" s="502" t="s">
        <v>104</v>
      </c>
      <c r="B19" s="476">
        <v>0.10127</v>
      </c>
      <c r="C19" s="476">
        <v>0.1084</v>
      </c>
      <c r="D19" s="476">
        <v>0.09769</v>
      </c>
      <c r="E19" s="476">
        <v>0.00461</v>
      </c>
      <c r="F19" s="474">
        <v>0.027005</v>
      </c>
      <c r="G19" s="474">
        <v>0.132885</v>
      </c>
      <c r="H19" s="474">
        <v>0.140015</v>
      </c>
      <c r="I19" s="474">
        <v>0.129305</v>
      </c>
      <c r="J19" s="461">
        <f>IF($R$10&gt;$G$9,$G$9,$R$10)</f>
        <v>1800</v>
      </c>
      <c r="K19" s="461">
        <f>$J$19*$K$18</f>
        <v>720</v>
      </c>
      <c r="L19" s="461">
        <f>$J$19*$L$18</f>
        <v>1080</v>
      </c>
      <c r="M19" s="467">
        <f>$K$19*$H$19</f>
        <v>100.8108</v>
      </c>
      <c r="N19" s="467">
        <f>$L$19*$I$19</f>
        <v>139.6494</v>
      </c>
      <c r="O19" s="467">
        <f>$G$24</f>
        <v>22.4725</v>
      </c>
      <c r="T19" s="461">
        <f>IF(Y10&gt;$G$9,$G$9,$Y$10)</f>
        <v>1800</v>
      </c>
      <c r="U19" s="461">
        <f>T19*U18</f>
        <v>720</v>
      </c>
      <c r="V19" s="461">
        <f>T19*V18</f>
        <v>1080</v>
      </c>
      <c r="W19" s="467">
        <f>U19*$H$19</f>
        <v>100.8108</v>
      </c>
      <c r="X19" s="467">
        <f>V19*$I$19</f>
        <v>139.6494</v>
      </c>
      <c r="Y19" s="467">
        <f>$G$24</f>
        <v>22.4725</v>
      </c>
    </row>
    <row r="20" spans="1:25" ht="12.75">
      <c r="A20" s="502" t="s">
        <v>105</v>
      </c>
      <c r="B20" s="476">
        <v>0.10492</v>
      </c>
      <c r="C20" s="476">
        <v>0.11205</v>
      </c>
      <c r="D20" s="476">
        <v>0.10134</v>
      </c>
      <c r="E20" s="476">
        <v>0.03925</v>
      </c>
      <c r="F20" s="474">
        <v>0.03984499999999999</v>
      </c>
      <c r="G20" s="474">
        <v>0.18401499999999998</v>
      </c>
      <c r="H20" s="474">
        <v>0.19114499999999998</v>
      </c>
      <c r="I20" s="474">
        <v>0.18043499999999998</v>
      </c>
      <c r="J20" s="461">
        <f>IF($R$10&gt;$J$10,$G$10,$H$10)</f>
        <v>840</v>
      </c>
      <c r="K20" s="461">
        <f>$J$20*$K$18</f>
        <v>336</v>
      </c>
      <c r="L20" s="461">
        <f>$J$20*$L$18</f>
        <v>504</v>
      </c>
      <c r="M20" s="467">
        <f>$K$20*$H$20</f>
        <v>64.22471999999999</v>
      </c>
      <c r="N20" s="467">
        <f>$L$20*$I$20</f>
        <v>90.93924</v>
      </c>
      <c r="O20" s="467">
        <f>$G$25*$Q$16</f>
        <v>16.9191</v>
      </c>
      <c r="T20" s="461">
        <f>IF($Y$10&gt;$J$10,$G$10,M10)</f>
        <v>481.25</v>
      </c>
      <c r="U20" s="461">
        <f>T20*U18</f>
        <v>192.5</v>
      </c>
      <c r="V20" s="461">
        <f>T20*V18</f>
        <v>288.75</v>
      </c>
      <c r="W20" s="467">
        <f>U20*$H$20</f>
        <v>36.7954125</v>
      </c>
      <c r="X20" s="467">
        <f>V20*$I$20</f>
        <v>52.10060625</v>
      </c>
      <c r="Y20" s="467">
        <f>$G$25*$Q$16</f>
        <v>16.9191</v>
      </c>
    </row>
    <row r="21" spans="1:25" ht="12.75">
      <c r="A21" s="502" t="s">
        <v>106</v>
      </c>
      <c r="B21" s="476">
        <v>0.10887999999999999</v>
      </c>
      <c r="C21" s="476">
        <v>0.11600999999999999</v>
      </c>
      <c r="D21" s="476">
        <v>0.10529999999999999</v>
      </c>
      <c r="E21" s="476">
        <v>0.0767</v>
      </c>
      <c r="F21" s="474">
        <v>0.057135</v>
      </c>
      <c r="G21" s="474">
        <v>0.242715</v>
      </c>
      <c r="H21" s="474">
        <v>0.24984499999999998</v>
      </c>
      <c r="I21" s="474">
        <v>0.239135</v>
      </c>
      <c r="J21" s="461">
        <f>IF($R$10&gt;$J$11,$G$11,$H$11)</f>
        <v>860</v>
      </c>
      <c r="K21" s="461">
        <f>$J$21*$K$18</f>
        <v>344</v>
      </c>
      <c r="L21" s="461">
        <f>$J$21*$L$18</f>
        <v>516</v>
      </c>
      <c r="M21" s="467">
        <f>$K$21*$H$21</f>
        <v>85.94668</v>
      </c>
      <c r="N21" s="467">
        <f>$L$21*$I$21</f>
        <v>123.39366</v>
      </c>
      <c r="O21" s="467"/>
      <c r="T21" s="461">
        <f>IF($Y$10&gt;$J$11,$G$11,M11)</f>
        <v>0</v>
      </c>
      <c r="U21" s="461">
        <f>T21*U18</f>
        <v>0</v>
      </c>
      <c r="V21" s="461">
        <f>T21*V18</f>
        <v>0</v>
      </c>
      <c r="W21" s="467">
        <f>U21*$H$21</f>
        <v>0</v>
      </c>
      <c r="X21" s="467">
        <f>V21*$I$21</f>
        <v>0</v>
      </c>
      <c r="Y21" s="467"/>
    </row>
    <row r="22" spans="1:25" ht="12.75">
      <c r="A22" s="502" t="s">
        <v>107</v>
      </c>
      <c r="B22" s="476">
        <v>0.11298</v>
      </c>
      <c r="C22" s="476">
        <v>0.12011</v>
      </c>
      <c r="D22" s="476">
        <v>0.1094</v>
      </c>
      <c r="E22" s="476">
        <v>0.1155</v>
      </c>
      <c r="F22" s="474">
        <v>0.057135</v>
      </c>
      <c r="G22" s="474">
        <v>0.285615</v>
      </c>
      <c r="H22" s="474">
        <v>0.292745</v>
      </c>
      <c r="I22" s="474">
        <v>0.282035</v>
      </c>
      <c r="J22" s="461">
        <f>IF($R$10&gt;$J$11,$G$12,$H$8)</f>
        <v>0</v>
      </c>
      <c r="K22" s="461">
        <f>$J$22*$K$18</f>
        <v>0</v>
      </c>
      <c r="L22" s="461">
        <f>$J$22*$L$18</f>
        <v>0</v>
      </c>
      <c r="M22" s="467">
        <f>$K$22*$H$22</f>
        <v>0</v>
      </c>
      <c r="N22" s="467">
        <f>$L$22*$I$22</f>
        <v>0</v>
      </c>
      <c r="O22" s="467"/>
      <c r="T22" s="461">
        <f>IF($Y$10&gt;$J$11,L12,$H$8)</f>
        <v>0</v>
      </c>
      <c r="U22" s="461">
        <f>T22*U18</f>
        <v>0</v>
      </c>
      <c r="V22" s="461">
        <f>T22*V18</f>
        <v>0</v>
      </c>
      <c r="W22" s="467">
        <f>U22*$H$22</f>
        <v>0</v>
      </c>
      <c r="X22" s="467">
        <f>V22*$I$22</f>
        <v>0</v>
      </c>
      <c r="Y22" s="467"/>
    </row>
    <row r="23" spans="1:28" ht="12.75">
      <c r="A23" s="502" t="s">
        <v>108</v>
      </c>
      <c r="B23" s="503">
        <f aca="true" t="shared" si="0" ref="B23:I23">SUM(B19:B22)/4</f>
        <v>0.10701249999999998</v>
      </c>
      <c r="C23" s="503">
        <f t="shared" si="0"/>
        <v>0.1141425</v>
      </c>
      <c r="D23" s="503">
        <f t="shared" si="0"/>
        <v>0.1034325</v>
      </c>
      <c r="E23" s="504">
        <f t="shared" si="0"/>
        <v>0.059015</v>
      </c>
      <c r="F23" s="505">
        <f t="shared" si="0"/>
        <v>0.045279999999999994</v>
      </c>
      <c r="G23" s="506">
        <f t="shared" si="0"/>
        <v>0.21130749999999998</v>
      </c>
      <c r="H23" s="506">
        <f t="shared" si="0"/>
        <v>0.2184375</v>
      </c>
      <c r="I23" s="506">
        <f t="shared" si="0"/>
        <v>0.2077275</v>
      </c>
      <c r="J23" s="461">
        <f>SUM(J19:J22)</f>
        <v>3500</v>
      </c>
      <c r="K23" s="461"/>
      <c r="L23" s="461"/>
      <c r="M23" s="467">
        <f>SUM(M19:M22)</f>
        <v>250.98219999999998</v>
      </c>
      <c r="N23" s="467">
        <f>SUM(N19:N22)</f>
        <v>353.9823</v>
      </c>
      <c r="O23" s="467">
        <f>SUM(O19:O22)</f>
        <v>39.3916</v>
      </c>
      <c r="P23" s="468">
        <f>(M23+N23)/J23</f>
        <v>0.172847</v>
      </c>
      <c r="Q23" s="469">
        <f>O23/J23</f>
        <v>0.011254742857142857</v>
      </c>
      <c r="R23" s="507">
        <f>P23+Q23</f>
        <v>0.18410174285714287</v>
      </c>
      <c r="T23" s="461">
        <f>SUM(T19:T22)</f>
        <v>2281.25</v>
      </c>
      <c r="U23" s="461"/>
      <c r="V23" s="461"/>
      <c r="W23" s="467">
        <f>SUM(W19:W22)</f>
        <v>137.6062125</v>
      </c>
      <c r="X23" s="467">
        <f>SUM(X19:X22)</f>
        <v>191.75000625</v>
      </c>
      <c r="Y23" s="467">
        <f>SUM(Y19:Y22)</f>
        <v>39.3916</v>
      </c>
      <c r="Z23" s="468">
        <f>(W23+X23)/T23</f>
        <v>0.1443753287671233</v>
      </c>
      <c r="AA23" s="469">
        <f>Y23/T23</f>
        <v>0.017267550684931507</v>
      </c>
      <c r="AB23" s="507">
        <f>Z23+AA23</f>
        <v>0.1616428794520548</v>
      </c>
    </row>
    <row r="24" spans="1:28" ht="18.75">
      <c r="A24" s="500" t="s">
        <v>109</v>
      </c>
      <c r="B24" s="747">
        <v>16.4725</v>
      </c>
      <c r="C24" s="747"/>
      <c r="D24" s="747"/>
      <c r="F24" s="476">
        <v>0.1697</v>
      </c>
      <c r="G24" s="747">
        <v>22.4725</v>
      </c>
      <c r="H24" s="747"/>
      <c r="I24" s="747"/>
      <c r="J24" s="501"/>
      <c r="P24" s="508">
        <f>P23*1.21</f>
        <v>0.20914486999999998</v>
      </c>
      <c r="R24" s="508">
        <f>R23*1.21</f>
        <v>0.22276310885714287</v>
      </c>
      <c r="T24" s="501"/>
      <c r="U24" s="460">
        <v>0</v>
      </c>
      <c r="Z24" s="508">
        <f>Z23*1.21</f>
        <v>0.1746941478082192</v>
      </c>
      <c r="AB24" s="508">
        <f>AB23*1.21</f>
        <v>0.1955878841369863</v>
      </c>
    </row>
    <row r="25" spans="1:9" ht="12.75">
      <c r="A25" s="500" t="s">
        <v>110</v>
      </c>
      <c r="E25" s="476">
        <v>5.47</v>
      </c>
      <c r="G25" s="747">
        <v>5.6396999999999995</v>
      </c>
      <c r="H25" s="747"/>
      <c r="I25" s="747"/>
    </row>
    <row r="26" spans="2:10" ht="12.75">
      <c r="B26" s="470"/>
      <c r="C26" s="471"/>
      <c r="D26" s="471"/>
      <c r="E26" s="476">
        <v>6</v>
      </c>
      <c r="F26" s="472"/>
      <c r="J26" s="467"/>
    </row>
    <row r="27" ht="15" customHeight="1">
      <c r="A27" s="496" t="s">
        <v>111</v>
      </c>
    </row>
    <row r="28" ht="12.75" customHeight="1">
      <c r="A28" s="497"/>
    </row>
    <row r="29" spans="1:18" ht="12.75" customHeight="1">
      <c r="A29" s="463"/>
      <c r="B29" s="749" t="s">
        <v>87</v>
      </c>
      <c r="C29" s="749"/>
      <c r="D29" s="749"/>
      <c r="E29" s="750" t="s">
        <v>88</v>
      </c>
      <c r="F29" s="750" t="s">
        <v>89</v>
      </c>
      <c r="G29" s="749" t="s">
        <v>90</v>
      </c>
      <c r="H29" s="749"/>
      <c r="I29" s="749"/>
      <c r="O29" s="497"/>
      <c r="P29" s="498" t="s">
        <v>91</v>
      </c>
      <c r="Q29" s="499">
        <v>4.5</v>
      </c>
      <c r="R29" s="497" t="s">
        <v>36</v>
      </c>
    </row>
    <row r="30" spans="1:12" ht="12.75">
      <c r="A30" s="463"/>
      <c r="B30" s="473" t="s">
        <v>92</v>
      </c>
      <c r="C30" s="754" t="s">
        <v>93</v>
      </c>
      <c r="D30" s="754"/>
      <c r="E30" s="750"/>
      <c r="F30" s="750"/>
      <c r="G30" s="473" t="s">
        <v>92</v>
      </c>
      <c r="H30" s="754" t="s">
        <v>93</v>
      </c>
      <c r="I30" s="754"/>
      <c r="K30" s="462" t="s">
        <v>94</v>
      </c>
      <c r="L30" s="462" t="s">
        <v>95</v>
      </c>
    </row>
    <row r="31" spans="1:18" ht="38.25">
      <c r="A31" s="500" t="s">
        <v>96</v>
      </c>
      <c r="B31" s="473" t="s">
        <v>97</v>
      </c>
      <c r="C31" s="473" t="s">
        <v>98</v>
      </c>
      <c r="D31" s="473" t="s">
        <v>99</v>
      </c>
      <c r="E31" s="473" t="s">
        <v>97</v>
      </c>
      <c r="F31" s="473" t="s">
        <v>97</v>
      </c>
      <c r="G31" s="473" t="s">
        <v>97</v>
      </c>
      <c r="H31" s="473" t="s">
        <v>98</v>
      </c>
      <c r="I31" s="473" t="s">
        <v>99</v>
      </c>
      <c r="J31" s="501"/>
      <c r="K31" s="465">
        <f>K18</f>
        <v>0.4</v>
      </c>
      <c r="L31" s="465">
        <f>100%-K31</f>
        <v>0.6</v>
      </c>
      <c r="M31" s="460" t="s">
        <v>94</v>
      </c>
      <c r="N31" s="460" t="s">
        <v>95</v>
      </c>
      <c r="O31" s="460" t="s">
        <v>100</v>
      </c>
      <c r="P31" s="466" t="s">
        <v>101</v>
      </c>
      <c r="Q31" s="466" t="s">
        <v>102</v>
      </c>
      <c r="R31" s="466" t="s">
        <v>103</v>
      </c>
    </row>
    <row r="32" spans="1:15" ht="12.75">
      <c r="A32" s="502" t="s">
        <v>104</v>
      </c>
      <c r="B32" s="752">
        <v>0.10078</v>
      </c>
      <c r="C32" s="752">
        <v>0.10790999999999999</v>
      </c>
      <c r="D32" s="752">
        <v>0.0972</v>
      </c>
      <c r="E32" s="476">
        <v>0.02355</v>
      </c>
      <c r="F32" s="753">
        <v>0.057135</v>
      </c>
      <c r="G32" s="474">
        <v>0.181465</v>
      </c>
      <c r="H32" s="474">
        <v>0.18859499999999998</v>
      </c>
      <c r="I32" s="474">
        <v>0.177885</v>
      </c>
      <c r="J32" s="461">
        <f>IF($R$10&gt;$G$9,$G$9,$R$10)</f>
        <v>1800</v>
      </c>
      <c r="K32" s="461">
        <f>J32*$K$18</f>
        <v>720</v>
      </c>
      <c r="L32" s="461">
        <f>J32*$L$18</f>
        <v>1080</v>
      </c>
      <c r="M32" s="467">
        <f aca="true" t="shared" si="1" ref="M32:N35">K32*H32</f>
        <v>135.7884</v>
      </c>
      <c r="N32" s="467">
        <f t="shared" si="1"/>
        <v>192.11579999999998</v>
      </c>
      <c r="O32" s="467">
        <f>G36</f>
        <v>44.5622</v>
      </c>
    </row>
    <row r="33" spans="1:15" ht="12.75">
      <c r="A33" s="502" t="s">
        <v>105</v>
      </c>
      <c r="B33" s="752"/>
      <c r="C33" s="752"/>
      <c r="D33" s="752"/>
      <c r="E33" s="476">
        <v>0.03925</v>
      </c>
      <c r="F33" s="753"/>
      <c r="G33" s="474">
        <v>0.19716499999999998</v>
      </c>
      <c r="H33" s="474">
        <v>0.20429499999999998</v>
      </c>
      <c r="I33" s="474">
        <v>0.19358499999999998</v>
      </c>
      <c r="J33" s="461">
        <f>IF($R$10&gt;$J$10,$G$10,$H$10)</f>
        <v>840</v>
      </c>
      <c r="K33" s="461">
        <f>J33*$K$18</f>
        <v>336</v>
      </c>
      <c r="L33" s="461">
        <f>J33*$L$18</f>
        <v>504</v>
      </c>
      <c r="M33" s="467">
        <f t="shared" si="1"/>
        <v>68.64312</v>
      </c>
      <c r="N33" s="467">
        <f t="shared" si="1"/>
        <v>97.56683999999998</v>
      </c>
      <c r="O33" s="467">
        <f>G37*Q29</f>
        <v>68.57865000000001</v>
      </c>
    </row>
    <row r="34" spans="1:15" ht="12.75">
      <c r="A34" s="502" t="s">
        <v>106</v>
      </c>
      <c r="B34" s="752"/>
      <c r="C34" s="752"/>
      <c r="D34" s="752"/>
      <c r="E34" s="476">
        <v>0.0767</v>
      </c>
      <c r="F34" s="753"/>
      <c r="G34" s="474">
        <v>0.234615</v>
      </c>
      <c r="H34" s="474">
        <v>0.241745</v>
      </c>
      <c r="I34" s="474">
        <v>0.231035</v>
      </c>
      <c r="J34" s="461">
        <f>IF($R$10&gt;$J$11,$G$11,$H$11)</f>
        <v>860</v>
      </c>
      <c r="K34" s="461">
        <f>J34*$K$18</f>
        <v>344</v>
      </c>
      <c r="L34" s="461">
        <f>J34*$L$18</f>
        <v>516</v>
      </c>
      <c r="M34" s="467">
        <f t="shared" si="1"/>
        <v>83.16028</v>
      </c>
      <c r="N34" s="467">
        <f t="shared" si="1"/>
        <v>119.21405999999999</v>
      </c>
      <c r="O34" s="467"/>
    </row>
    <row r="35" spans="1:15" ht="12.75">
      <c r="A35" s="502" t="s">
        <v>107</v>
      </c>
      <c r="B35" s="752"/>
      <c r="C35" s="752"/>
      <c r="D35" s="752"/>
      <c r="E35" s="476">
        <v>0.1155</v>
      </c>
      <c r="F35" s="753"/>
      <c r="G35" s="474">
        <v>0.273415</v>
      </c>
      <c r="H35" s="474">
        <v>0.280545</v>
      </c>
      <c r="I35" s="474">
        <v>0.269835</v>
      </c>
      <c r="J35" s="461">
        <f>IF($R$10&gt;$J$11,$G$12,$H$8)</f>
        <v>0</v>
      </c>
      <c r="K35" s="461">
        <f>J35*$K$18</f>
        <v>0</v>
      </c>
      <c r="L35" s="461">
        <f>J35*$L$18</f>
        <v>0</v>
      </c>
      <c r="M35" s="467">
        <f t="shared" si="1"/>
        <v>0</v>
      </c>
      <c r="N35" s="467">
        <f t="shared" si="1"/>
        <v>0</v>
      </c>
      <c r="O35" s="467"/>
    </row>
    <row r="36" spans="1:18" ht="12.75">
      <c r="A36" s="500" t="s">
        <v>109</v>
      </c>
      <c r="B36" s="747">
        <v>22.27</v>
      </c>
      <c r="C36" s="747"/>
      <c r="D36" s="747"/>
      <c r="E36" s="476">
        <v>22.2922</v>
      </c>
      <c r="F36" s="463"/>
      <c r="G36" s="747">
        <v>44.5622</v>
      </c>
      <c r="H36" s="747"/>
      <c r="I36" s="747"/>
      <c r="J36" s="461">
        <f>SUM(J32:J35)</f>
        <v>3500</v>
      </c>
      <c r="K36" s="461"/>
      <c r="L36" s="461"/>
      <c r="M36" s="467">
        <f>SUM(M32:M35)</f>
        <v>287.5918</v>
      </c>
      <c r="N36" s="467">
        <f>SUM(N32:N35)</f>
        <v>408.8967</v>
      </c>
      <c r="O36" s="467">
        <f>SUM(O32:O35)</f>
        <v>113.14085</v>
      </c>
      <c r="P36" s="468">
        <f>(M36+N36)/J36</f>
        <v>0.19899671428571428</v>
      </c>
      <c r="Q36" s="469">
        <f>O36/J36</f>
        <v>0.032325957142857145</v>
      </c>
      <c r="R36" s="507">
        <f>P36+Q36</f>
        <v>0.23132267142857144</v>
      </c>
    </row>
    <row r="37" spans="1:28" ht="18.75">
      <c r="A37" s="500" t="s">
        <v>110</v>
      </c>
      <c r="E37" s="476">
        <v>15.07</v>
      </c>
      <c r="F37" s="476">
        <v>0.1697</v>
      </c>
      <c r="G37" s="747">
        <v>15.239700000000001</v>
      </c>
      <c r="H37" s="747"/>
      <c r="I37" s="747"/>
      <c r="J37" s="501"/>
      <c r="P37" s="508">
        <f>P36*1.21</f>
        <v>0.24078602428571427</v>
      </c>
      <c r="R37" s="508">
        <f>R36*1.21</f>
        <v>0.27990043242857143</v>
      </c>
      <c r="Z37" s="508">
        <f>P37*Z24/P24</f>
        <v>0.20112331379068504</v>
      </c>
      <c r="AB37" s="508">
        <f>R37*AB24/R24</f>
        <v>0.24575493504554938</v>
      </c>
    </row>
    <row r="38" ht="12.75">
      <c r="J38" s="501"/>
    </row>
    <row r="39" spans="3:6" ht="12.75">
      <c r="C39" s="503"/>
      <c r="D39" s="503"/>
      <c r="F39" s="503"/>
    </row>
    <row r="40" spans="1:9" ht="15">
      <c r="A40" s="751" t="s">
        <v>112</v>
      </c>
      <c r="B40" s="751"/>
      <c r="C40" s="751"/>
      <c r="D40" s="751"/>
      <c r="E40" s="751"/>
      <c r="F40" s="751"/>
      <c r="G40" s="751"/>
      <c r="H40" s="751"/>
      <c r="I40" s="751"/>
    </row>
    <row r="41" spans="1:9" ht="12.75" customHeight="1">
      <c r="A41" s="495" t="s">
        <v>902</v>
      </c>
      <c r="B41" s="457"/>
      <c r="C41" s="457"/>
      <c r="D41" s="457"/>
      <c r="E41" s="457"/>
      <c r="F41" s="457"/>
      <c r="G41" s="457"/>
      <c r="H41" s="457"/>
      <c r="I41" s="457"/>
    </row>
    <row r="42" spans="1:9" ht="12.75" customHeight="1">
      <c r="A42" s="495" t="s">
        <v>903</v>
      </c>
      <c r="B42" s="457"/>
      <c r="C42" s="457"/>
      <c r="D42" s="457"/>
      <c r="E42" s="457"/>
      <c r="F42" s="457"/>
      <c r="G42" s="457"/>
      <c r="H42" s="457"/>
      <c r="I42" s="457"/>
    </row>
    <row r="43" spans="1:9" ht="12.75" customHeight="1">
      <c r="A43" s="495" t="s">
        <v>901</v>
      </c>
      <c r="B43" s="457"/>
      <c r="C43" s="457"/>
      <c r="D43" s="457"/>
      <c r="E43" s="457"/>
      <c r="F43" s="457"/>
      <c r="G43" s="457"/>
      <c r="H43" s="457"/>
      <c r="I43" s="457"/>
    </row>
    <row r="44" ht="12.75" customHeight="1"/>
    <row r="45" ht="15" customHeight="1">
      <c r="A45" s="496" t="s">
        <v>113</v>
      </c>
    </row>
    <row r="46" ht="12.75">
      <c r="A46" s="497"/>
    </row>
    <row r="47" ht="15" customHeight="1">
      <c r="A47" s="475" t="s">
        <v>114</v>
      </c>
    </row>
    <row r="48" spans="2:9" s="509" customFormat="1" ht="12.75" customHeight="1">
      <c r="B48" s="749" t="s">
        <v>87</v>
      </c>
      <c r="C48" s="749"/>
      <c r="D48" s="749"/>
      <c r="E48" s="750" t="s">
        <v>88</v>
      </c>
      <c r="F48" s="750" t="s">
        <v>115</v>
      </c>
      <c r="G48" s="749" t="s">
        <v>90</v>
      </c>
      <c r="H48" s="749"/>
      <c r="I48" s="749"/>
    </row>
    <row r="49" spans="1:9" s="509" customFormat="1" ht="12.75">
      <c r="A49" s="500" t="s">
        <v>96</v>
      </c>
      <c r="B49" s="473" t="s">
        <v>98</v>
      </c>
      <c r="C49" s="473" t="s">
        <v>116</v>
      </c>
      <c r="D49" s="473" t="s">
        <v>117</v>
      </c>
      <c r="E49" s="750"/>
      <c r="F49" s="750"/>
      <c r="G49" s="473" t="s">
        <v>98</v>
      </c>
      <c r="H49" s="473" t="s">
        <v>116</v>
      </c>
      <c r="I49" s="473" t="s">
        <v>117</v>
      </c>
    </row>
    <row r="50" spans="1:9" s="509" customFormat="1" ht="12.75">
      <c r="A50" s="510" t="s">
        <v>118</v>
      </c>
      <c r="B50" s="476">
        <v>0.11203000000000002</v>
      </c>
      <c r="C50" s="476">
        <v>0.11065000000000001</v>
      </c>
      <c r="D50" s="476">
        <v>0.08611</v>
      </c>
      <c r="E50" s="745">
        <v>0.00619</v>
      </c>
      <c r="F50" s="746">
        <v>0.04004499999999999</v>
      </c>
      <c r="G50" s="474">
        <v>0.15826500000000002</v>
      </c>
      <c r="H50" s="474">
        <v>0.156885</v>
      </c>
      <c r="I50" s="474">
        <v>0.132345</v>
      </c>
    </row>
    <row r="51" spans="1:9" s="509" customFormat="1" ht="12.75">
      <c r="A51" s="510" t="s">
        <v>119</v>
      </c>
      <c r="B51" s="476">
        <v>0.1004</v>
      </c>
      <c r="C51" s="476">
        <v>0.11082000000000003</v>
      </c>
      <c r="D51" s="476">
        <v>0.08804000000000002</v>
      </c>
      <c r="E51" s="745"/>
      <c r="F51" s="746"/>
      <c r="G51" s="474">
        <v>0.146635</v>
      </c>
      <c r="H51" s="474">
        <v>0.15705500000000003</v>
      </c>
      <c r="I51" s="474">
        <v>0.134275</v>
      </c>
    </row>
    <row r="52" spans="1:9" s="509" customFormat="1" ht="12.75">
      <c r="A52" s="510" t="s">
        <v>120</v>
      </c>
      <c r="B52" s="476">
        <v>0.10538000000000002</v>
      </c>
      <c r="C52" s="476">
        <v>0.11208</v>
      </c>
      <c r="D52" s="476">
        <v>0.08968000000000002</v>
      </c>
      <c r="E52" s="745"/>
      <c r="F52" s="746"/>
      <c r="G52" s="474">
        <v>0.151615</v>
      </c>
      <c r="H52" s="474">
        <v>0.15831499999999998</v>
      </c>
      <c r="I52" s="474">
        <v>0.135915</v>
      </c>
    </row>
    <row r="53" spans="1:9" s="509" customFormat="1" ht="12.75">
      <c r="A53" s="500" t="s">
        <v>109</v>
      </c>
      <c r="B53" s="747">
        <v>40.388000000000005</v>
      </c>
      <c r="C53" s="747"/>
      <c r="D53" s="747"/>
      <c r="E53" s="476">
        <v>27.558600000000002</v>
      </c>
      <c r="F53" s="476">
        <v>1.4357</v>
      </c>
      <c r="G53" s="747">
        <v>69.3823</v>
      </c>
      <c r="H53" s="747"/>
      <c r="I53" s="747"/>
    </row>
    <row r="54" spans="1:9" s="509" customFormat="1" ht="12.75">
      <c r="A54" s="500" t="s">
        <v>110</v>
      </c>
      <c r="B54" s="747"/>
      <c r="C54" s="747"/>
      <c r="D54" s="747"/>
      <c r="E54" s="476">
        <v>31.4736</v>
      </c>
      <c r="F54" s="476"/>
      <c r="G54" s="747">
        <v>31.4736</v>
      </c>
      <c r="H54" s="747"/>
      <c r="I54" s="747"/>
    </row>
    <row r="56" ht="15" customHeight="1">
      <c r="A56" s="475" t="s">
        <v>121</v>
      </c>
    </row>
    <row r="57" spans="2:9" s="509" customFormat="1" ht="12.75" customHeight="1">
      <c r="B57" s="749" t="s">
        <v>87</v>
      </c>
      <c r="C57" s="749"/>
      <c r="D57" s="749"/>
      <c r="E57" s="750" t="s">
        <v>88</v>
      </c>
      <c r="F57" s="750" t="s">
        <v>115</v>
      </c>
      <c r="G57" s="749" t="s">
        <v>90</v>
      </c>
      <c r="H57" s="749"/>
      <c r="I57" s="749"/>
    </row>
    <row r="58" spans="1:9" s="509" customFormat="1" ht="12.75">
      <c r="A58" s="500" t="s">
        <v>96</v>
      </c>
      <c r="B58" s="473" t="s">
        <v>98</v>
      </c>
      <c r="C58" s="473" t="s">
        <v>116</v>
      </c>
      <c r="D58" s="473" t="s">
        <v>117</v>
      </c>
      <c r="E58" s="750"/>
      <c r="F58" s="750"/>
      <c r="G58" s="473" t="s">
        <v>98</v>
      </c>
      <c r="H58" s="473" t="s">
        <v>116</v>
      </c>
      <c r="I58" s="473" t="s">
        <v>117</v>
      </c>
    </row>
    <row r="59" spans="1:9" s="509" customFormat="1" ht="12.75">
      <c r="A59" s="510" t="s">
        <v>118</v>
      </c>
      <c r="B59" s="476">
        <v>0.11203000000000002</v>
      </c>
      <c r="C59" s="476">
        <v>0.11065000000000001</v>
      </c>
      <c r="D59" s="476">
        <v>0.08611</v>
      </c>
      <c r="E59" s="745">
        <v>0.00619</v>
      </c>
      <c r="F59" s="746">
        <v>0.052704999999999995</v>
      </c>
      <c r="G59" s="474">
        <v>0.17092500000000002</v>
      </c>
      <c r="H59" s="474">
        <v>0.169545</v>
      </c>
      <c r="I59" s="474">
        <v>0.145005</v>
      </c>
    </row>
    <row r="60" spans="1:9" s="509" customFormat="1" ht="12.75">
      <c r="A60" s="510" t="s">
        <v>119</v>
      </c>
      <c r="B60" s="476">
        <v>0.1004</v>
      </c>
      <c r="C60" s="476">
        <v>0.11082000000000003</v>
      </c>
      <c r="D60" s="476">
        <v>0.08804000000000002</v>
      </c>
      <c r="E60" s="745"/>
      <c r="F60" s="746"/>
      <c r="G60" s="474">
        <v>0.159295</v>
      </c>
      <c r="H60" s="474">
        <v>0.16971500000000003</v>
      </c>
      <c r="I60" s="474">
        <v>0.146935</v>
      </c>
    </row>
    <row r="61" spans="1:9" s="509" customFormat="1" ht="12.75">
      <c r="A61" s="510" t="s">
        <v>120</v>
      </c>
      <c r="B61" s="476">
        <v>0.10538000000000002</v>
      </c>
      <c r="C61" s="476">
        <v>0.11208</v>
      </c>
      <c r="D61" s="476">
        <v>0.08968000000000002</v>
      </c>
      <c r="E61" s="745"/>
      <c r="F61" s="746"/>
      <c r="G61" s="474">
        <v>0.164275</v>
      </c>
      <c r="H61" s="474">
        <v>0.170975</v>
      </c>
      <c r="I61" s="474">
        <v>0.148575</v>
      </c>
    </row>
    <row r="62" spans="1:9" s="509" customFormat="1" ht="12.75">
      <c r="A62" s="500" t="s">
        <v>109</v>
      </c>
      <c r="B62" s="747">
        <v>40.388000000000005</v>
      </c>
      <c r="C62" s="747"/>
      <c r="D62" s="747"/>
      <c r="E62" s="476">
        <v>27.558600000000002</v>
      </c>
      <c r="F62" s="476">
        <v>116.9692</v>
      </c>
      <c r="G62" s="747">
        <v>184.9158</v>
      </c>
      <c r="H62" s="747"/>
      <c r="I62" s="747"/>
    </row>
    <row r="63" spans="1:9" s="509" customFormat="1" ht="12.75">
      <c r="A63" s="500" t="s">
        <v>110</v>
      </c>
      <c r="B63" s="748"/>
      <c r="C63" s="748"/>
      <c r="D63" s="748"/>
      <c r="E63" s="476">
        <v>29.8083</v>
      </c>
      <c r="F63" s="476"/>
      <c r="G63" s="747">
        <v>29.8083</v>
      </c>
      <c r="H63" s="747"/>
      <c r="I63" s="747"/>
    </row>
    <row r="65" ht="15" customHeight="1">
      <c r="A65" s="475" t="s">
        <v>122</v>
      </c>
    </row>
    <row r="66" spans="2:9" s="509" customFormat="1" ht="12.75" customHeight="1">
      <c r="B66" s="749" t="s">
        <v>87</v>
      </c>
      <c r="C66" s="749"/>
      <c r="D66" s="749"/>
      <c r="E66" s="750" t="s">
        <v>88</v>
      </c>
      <c r="F66" s="750" t="s">
        <v>115</v>
      </c>
      <c r="G66" s="749" t="s">
        <v>90</v>
      </c>
      <c r="H66" s="749"/>
      <c r="I66" s="749"/>
    </row>
    <row r="67" spans="1:9" s="509" customFormat="1" ht="12.75">
      <c r="A67" s="500" t="s">
        <v>96</v>
      </c>
      <c r="B67" s="473" t="s">
        <v>98</v>
      </c>
      <c r="C67" s="473" t="s">
        <v>116</v>
      </c>
      <c r="D67" s="473" t="s">
        <v>117</v>
      </c>
      <c r="E67" s="750"/>
      <c r="F67" s="750"/>
      <c r="G67" s="473" t="s">
        <v>98</v>
      </c>
      <c r="H67" s="473" t="s">
        <v>116</v>
      </c>
      <c r="I67" s="473" t="s">
        <v>117</v>
      </c>
    </row>
    <row r="68" spans="1:9" s="509" customFormat="1" ht="12.75">
      <c r="A68" s="510" t="s">
        <v>118</v>
      </c>
      <c r="B68" s="476">
        <v>0.11203000000000002</v>
      </c>
      <c r="C68" s="476">
        <v>0.11065000000000001</v>
      </c>
      <c r="D68" s="476">
        <v>0.08611</v>
      </c>
      <c r="E68" s="745">
        <v>0.00619</v>
      </c>
      <c r="F68" s="746">
        <v>0.052704999999999995</v>
      </c>
      <c r="G68" s="474">
        <v>0.17092500000000002</v>
      </c>
      <c r="H68" s="474">
        <v>0.169545</v>
      </c>
      <c r="I68" s="474">
        <v>0.145005</v>
      </c>
    </row>
    <row r="69" spans="1:9" s="509" customFormat="1" ht="12.75">
      <c r="A69" s="510" t="s">
        <v>119</v>
      </c>
      <c r="B69" s="476">
        <v>0.1004</v>
      </c>
      <c r="C69" s="476">
        <v>0.11082000000000003</v>
      </c>
      <c r="D69" s="476">
        <v>0.08804000000000002</v>
      </c>
      <c r="E69" s="745"/>
      <c r="F69" s="746"/>
      <c r="G69" s="474">
        <v>0.159295</v>
      </c>
      <c r="H69" s="474">
        <v>0.16971500000000003</v>
      </c>
      <c r="I69" s="474">
        <v>0.146935</v>
      </c>
    </row>
    <row r="70" spans="1:9" s="509" customFormat="1" ht="12.75">
      <c r="A70" s="510" t="s">
        <v>120</v>
      </c>
      <c r="B70" s="476">
        <v>0.10538000000000002</v>
      </c>
      <c r="C70" s="476">
        <v>0.11208</v>
      </c>
      <c r="D70" s="476">
        <v>0.08968000000000002</v>
      </c>
      <c r="E70" s="745"/>
      <c r="F70" s="746"/>
      <c r="G70" s="474">
        <v>0.164275</v>
      </c>
      <c r="H70" s="474">
        <v>0.170975</v>
      </c>
      <c r="I70" s="474">
        <v>0.148575</v>
      </c>
    </row>
    <row r="71" spans="1:9" s="509" customFormat="1" ht="12.75">
      <c r="A71" s="500" t="s">
        <v>109</v>
      </c>
      <c r="B71" s="747">
        <v>40.388000000000005</v>
      </c>
      <c r="C71" s="747"/>
      <c r="D71" s="747"/>
      <c r="E71" s="476">
        <v>27.558600000000002</v>
      </c>
      <c r="F71" s="476">
        <v>116.9692</v>
      </c>
      <c r="G71" s="747">
        <v>184.9158</v>
      </c>
      <c r="H71" s="747"/>
      <c r="I71" s="747"/>
    </row>
    <row r="72" spans="1:9" s="509" customFormat="1" ht="12.75">
      <c r="A72" s="500" t="s">
        <v>110</v>
      </c>
      <c r="B72" s="748"/>
      <c r="C72" s="748"/>
      <c r="D72" s="748"/>
      <c r="E72" s="476">
        <v>33.1389</v>
      </c>
      <c r="F72" s="476"/>
      <c r="G72" s="747">
        <v>33.1389</v>
      </c>
      <c r="H72" s="747"/>
      <c r="I72" s="747"/>
    </row>
    <row r="74" ht="15" customHeight="1">
      <c r="A74" s="475" t="s">
        <v>123</v>
      </c>
    </row>
    <row r="75" spans="2:9" s="509" customFormat="1" ht="12.75" customHeight="1">
      <c r="B75" s="749" t="s">
        <v>87</v>
      </c>
      <c r="C75" s="749"/>
      <c r="D75" s="749"/>
      <c r="E75" s="750" t="s">
        <v>88</v>
      </c>
      <c r="F75" s="750" t="s">
        <v>115</v>
      </c>
      <c r="G75" s="749" t="s">
        <v>90</v>
      </c>
      <c r="H75" s="749"/>
      <c r="I75" s="749"/>
    </row>
    <row r="76" spans="1:9" s="509" customFormat="1" ht="12.75">
      <c r="A76" s="500" t="s">
        <v>96</v>
      </c>
      <c r="B76" s="473" t="s">
        <v>98</v>
      </c>
      <c r="C76" s="473" t="s">
        <v>116</v>
      </c>
      <c r="D76" s="473" t="s">
        <v>117</v>
      </c>
      <c r="E76" s="750"/>
      <c r="F76" s="750"/>
      <c r="G76" s="473" t="s">
        <v>98</v>
      </c>
      <c r="H76" s="473" t="s">
        <v>116</v>
      </c>
      <c r="I76" s="473" t="s">
        <v>117</v>
      </c>
    </row>
    <row r="77" spans="1:9" s="509" customFormat="1" ht="12.75">
      <c r="A77" s="510" t="s">
        <v>118</v>
      </c>
      <c r="B77" s="476">
        <v>0.11203000000000002</v>
      </c>
      <c r="C77" s="476">
        <v>0.11065000000000001</v>
      </c>
      <c r="D77" s="476">
        <v>0.08611</v>
      </c>
      <c r="E77" s="745">
        <v>0.00619</v>
      </c>
      <c r="F77" s="746">
        <v>0.052704999999999995</v>
      </c>
      <c r="G77" s="474">
        <v>0.17092500000000002</v>
      </c>
      <c r="H77" s="474">
        <v>0.169545</v>
      </c>
      <c r="I77" s="474">
        <v>0.145005</v>
      </c>
    </row>
    <row r="78" spans="1:9" s="509" customFormat="1" ht="12.75">
      <c r="A78" s="510" t="s">
        <v>119</v>
      </c>
      <c r="B78" s="476">
        <v>0.1004</v>
      </c>
      <c r="C78" s="476">
        <v>0.11082000000000003</v>
      </c>
      <c r="D78" s="476">
        <v>0.08804000000000002</v>
      </c>
      <c r="E78" s="745"/>
      <c r="F78" s="746"/>
      <c r="G78" s="474">
        <v>0.159295</v>
      </c>
      <c r="H78" s="474">
        <v>0.16971500000000003</v>
      </c>
      <c r="I78" s="474">
        <v>0.146935</v>
      </c>
    </row>
    <row r="79" spans="1:9" s="509" customFormat="1" ht="12.75">
      <c r="A79" s="510" t="s">
        <v>120</v>
      </c>
      <c r="B79" s="476">
        <v>0.10538000000000002</v>
      </c>
      <c r="C79" s="476">
        <v>0.11208</v>
      </c>
      <c r="D79" s="476">
        <v>0.08968000000000002</v>
      </c>
      <c r="E79" s="745"/>
      <c r="F79" s="746"/>
      <c r="G79" s="474">
        <v>0.164275</v>
      </c>
      <c r="H79" s="474">
        <v>0.170975</v>
      </c>
      <c r="I79" s="474">
        <v>0.148575</v>
      </c>
    </row>
    <row r="80" spans="1:9" s="509" customFormat="1" ht="12.75">
      <c r="A80" s="500" t="s">
        <v>109</v>
      </c>
      <c r="B80" s="747">
        <v>40.388000000000005</v>
      </c>
      <c r="C80" s="747"/>
      <c r="D80" s="747"/>
      <c r="E80" s="476">
        <v>28.083100000000005</v>
      </c>
      <c r="F80" s="476">
        <v>116.9692</v>
      </c>
      <c r="G80" s="747">
        <v>185.4403</v>
      </c>
      <c r="H80" s="747"/>
      <c r="I80" s="747"/>
    </row>
    <row r="81" spans="1:9" s="509" customFormat="1" ht="12.75">
      <c r="A81" s="500" t="s">
        <v>110</v>
      </c>
      <c r="B81" s="748"/>
      <c r="C81" s="748"/>
      <c r="D81" s="748"/>
      <c r="E81" s="476">
        <v>33.1389</v>
      </c>
      <c r="F81" s="476"/>
      <c r="G81" s="747">
        <v>33.1389</v>
      </c>
      <c r="H81" s="747"/>
      <c r="I81" s="747"/>
    </row>
    <row r="84" ht="15" customHeight="1">
      <c r="A84" s="496" t="s">
        <v>124</v>
      </c>
    </row>
    <row r="86" spans="2:9" s="509" customFormat="1" ht="12.75" customHeight="1">
      <c r="B86" s="749" t="s">
        <v>87</v>
      </c>
      <c r="C86" s="749"/>
      <c r="D86" s="749"/>
      <c r="E86" s="750" t="s">
        <v>88</v>
      </c>
      <c r="F86" s="750" t="s">
        <v>115</v>
      </c>
      <c r="G86" s="749" t="s">
        <v>90</v>
      </c>
      <c r="H86" s="749"/>
      <c r="I86" s="749"/>
    </row>
    <row r="87" spans="1:9" s="509" customFormat="1" ht="12.75">
      <c r="A87" s="500" t="s">
        <v>96</v>
      </c>
      <c r="B87" s="473" t="s">
        <v>98</v>
      </c>
      <c r="C87" s="473" t="s">
        <v>116</v>
      </c>
      <c r="D87" s="473" t="s">
        <v>117</v>
      </c>
      <c r="E87" s="750"/>
      <c r="F87" s="750"/>
      <c r="G87" s="473" t="s">
        <v>98</v>
      </c>
      <c r="H87" s="473" t="s">
        <v>116</v>
      </c>
      <c r="I87" s="473" t="s">
        <v>117</v>
      </c>
    </row>
    <row r="88" spans="1:9" s="509" customFormat="1" ht="12.75">
      <c r="A88" s="510" t="s">
        <v>118</v>
      </c>
      <c r="B88" s="476">
        <v>0.11203000000000002</v>
      </c>
      <c r="C88" s="476">
        <v>0.11065000000000001</v>
      </c>
      <c r="D88" s="476">
        <v>0.08611</v>
      </c>
      <c r="E88" s="745">
        <v>0.006160000000000001</v>
      </c>
      <c r="F88" s="746">
        <v>0.052704999999999995</v>
      </c>
      <c r="G88" s="474">
        <v>0.17089500000000002</v>
      </c>
      <c r="H88" s="474">
        <v>0.169515</v>
      </c>
      <c r="I88" s="474">
        <v>0.144975</v>
      </c>
    </row>
    <row r="89" spans="1:9" s="509" customFormat="1" ht="12.75">
      <c r="A89" s="510" t="s">
        <v>119</v>
      </c>
      <c r="B89" s="476">
        <v>0.1004</v>
      </c>
      <c r="C89" s="476">
        <v>0.11082000000000003</v>
      </c>
      <c r="D89" s="476">
        <v>0.08804000000000002</v>
      </c>
      <c r="E89" s="745"/>
      <c r="F89" s="746"/>
      <c r="G89" s="474">
        <v>0.159265</v>
      </c>
      <c r="H89" s="474">
        <v>0.16968500000000003</v>
      </c>
      <c r="I89" s="474">
        <v>0.146905</v>
      </c>
    </row>
    <row r="90" spans="1:9" s="509" customFormat="1" ht="12.75">
      <c r="A90" s="510" t="s">
        <v>120</v>
      </c>
      <c r="B90" s="476">
        <v>0.10538000000000002</v>
      </c>
      <c r="C90" s="476">
        <v>0.11208</v>
      </c>
      <c r="D90" s="476">
        <v>0.08968000000000002</v>
      </c>
      <c r="E90" s="745"/>
      <c r="F90" s="746"/>
      <c r="G90" s="474">
        <v>0.164245</v>
      </c>
      <c r="H90" s="474">
        <v>0.17094499999999999</v>
      </c>
      <c r="I90" s="474">
        <v>0.148545</v>
      </c>
    </row>
    <row r="91" spans="1:9" s="509" customFormat="1" ht="12.75">
      <c r="A91" s="500" t="s">
        <v>109</v>
      </c>
      <c r="B91" s="747">
        <v>40.388000000000005</v>
      </c>
      <c r="C91" s="747"/>
      <c r="D91" s="747"/>
      <c r="E91" s="476">
        <v>27.558600000000002</v>
      </c>
      <c r="F91" s="476">
        <v>116.9692</v>
      </c>
      <c r="G91" s="747">
        <v>184.9158</v>
      </c>
      <c r="H91" s="747"/>
      <c r="I91" s="747"/>
    </row>
    <row r="92" spans="1:9" s="509" customFormat="1" ht="12.75">
      <c r="A92" s="500" t="s">
        <v>110</v>
      </c>
      <c r="B92" s="748"/>
      <c r="C92" s="748"/>
      <c r="D92" s="748"/>
      <c r="E92" s="476">
        <v>31.4736</v>
      </c>
      <c r="F92" s="476"/>
      <c r="G92" s="747">
        <v>31.4736</v>
      </c>
      <c r="H92" s="747"/>
      <c r="I92" s="747"/>
    </row>
    <row r="94" ht="12.75">
      <c r="A94" s="497" t="s">
        <v>904</v>
      </c>
    </row>
    <row r="102" spans="11:25" ht="25.5" customHeight="1">
      <c r="K102" s="484">
        <f>P104/R110</f>
        <v>1.5714285714285714</v>
      </c>
      <c r="L102" s="755" t="s">
        <v>142</v>
      </c>
      <c r="M102" s="755"/>
      <c r="N102" s="755"/>
      <c r="O102" s="755"/>
      <c r="P102" s="755"/>
      <c r="Q102" s="755"/>
      <c r="R102" s="755"/>
      <c r="S102" s="755"/>
      <c r="T102" s="755"/>
      <c r="U102" s="755"/>
      <c r="V102" s="755"/>
      <c r="W102" s="755"/>
      <c r="X102" s="755"/>
      <c r="Y102" s="755"/>
    </row>
    <row r="103" spans="1:25" s="486" customFormat="1" ht="35.25" customHeight="1">
      <c r="A103" s="485" t="s">
        <v>70</v>
      </c>
      <c r="K103" s="487">
        <f>100%+K106</f>
        <v>1.2857142857142856</v>
      </c>
      <c r="L103" s="488" t="s">
        <v>125</v>
      </c>
      <c r="M103" s="488" t="s">
        <v>126</v>
      </c>
      <c r="N103" s="488" t="s">
        <v>139</v>
      </c>
      <c r="O103" s="488" t="s">
        <v>140</v>
      </c>
      <c r="P103" s="488" t="s">
        <v>128</v>
      </c>
      <c r="Q103" s="488" t="s">
        <v>155</v>
      </c>
      <c r="R103" s="488" t="s">
        <v>130</v>
      </c>
      <c r="S103" s="488" t="s">
        <v>131</v>
      </c>
      <c r="T103" s="488" t="s">
        <v>132</v>
      </c>
      <c r="U103" s="488" t="s">
        <v>135</v>
      </c>
      <c r="V103" s="488" t="s">
        <v>133</v>
      </c>
      <c r="W103" s="488" t="s">
        <v>134</v>
      </c>
      <c r="X103" s="489" t="s">
        <v>136</v>
      </c>
      <c r="Y103" s="489" t="s">
        <v>137</v>
      </c>
    </row>
    <row r="104" spans="1:25" s="486" customFormat="1" ht="12.75" customHeight="1">
      <c r="A104" s="460" t="s">
        <v>71</v>
      </c>
      <c r="K104" s="487">
        <f>K102-100%</f>
        <v>0.5714285714285714</v>
      </c>
      <c r="L104" s="477">
        <f>Simulatore!G16</f>
        <v>5</v>
      </c>
      <c r="M104" s="477">
        <f>Simulatore!AN16</f>
        <v>1100</v>
      </c>
      <c r="N104" s="478">
        <f>A!J14</f>
        <v>0.09</v>
      </c>
      <c r="O104" s="478">
        <f>A!J15</f>
        <v>0</v>
      </c>
      <c r="P104" s="477">
        <f>L104*M104</f>
        <v>5500</v>
      </c>
      <c r="Q104" s="477">
        <f>A!J22</f>
        <v>105600</v>
      </c>
      <c r="R104" s="479">
        <f>(W110*A!J20)-(X110*A!J20)</f>
        <v>6669.72040625</v>
      </c>
      <c r="S104" s="479">
        <f>Q104*N104*(100%-T110)</f>
        <v>6194.571428571428</v>
      </c>
      <c r="T104" s="479">
        <f>Q104*O104*T110</f>
        <v>0</v>
      </c>
      <c r="U104" s="479">
        <f>R104+S104+T104</f>
        <v>12864.29183482143</v>
      </c>
      <c r="V104" s="479" t="e">
        <f>C!#REF!</f>
        <v>#REF!</v>
      </c>
      <c r="W104" s="479">
        <f>A!H349</f>
        <v>0</v>
      </c>
      <c r="X104" s="480" t="e">
        <f>U104-V104-W104</f>
        <v>#REF!</v>
      </c>
      <c r="Y104" s="490" t="e">
        <f>V104/(U104/20)</f>
        <v>#REF!</v>
      </c>
    </row>
    <row r="105" spans="12:25" ht="14.25" customHeight="1">
      <c r="L105" s="462" t="s">
        <v>36</v>
      </c>
      <c r="M105" s="462" t="s">
        <v>127</v>
      </c>
      <c r="N105" s="462" t="s">
        <v>138</v>
      </c>
      <c r="O105" s="462" t="s">
        <v>138</v>
      </c>
      <c r="P105" s="462" t="s">
        <v>83</v>
      </c>
      <c r="Q105" s="462" t="s">
        <v>129</v>
      </c>
      <c r="R105" s="462" t="s">
        <v>138</v>
      </c>
      <c r="S105" s="462" t="s">
        <v>138</v>
      </c>
      <c r="T105" s="462" t="s">
        <v>138</v>
      </c>
      <c r="U105" s="462" t="s">
        <v>138</v>
      </c>
      <c r="V105" s="462" t="s">
        <v>138</v>
      </c>
      <c r="W105" s="462" t="s">
        <v>138</v>
      </c>
      <c r="X105" s="462" t="s">
        <v>138</v>
      </c>
      <c r="Y105" s="491" t="s">
        <v>1</v>
      </c>
    </row>
    <row r="106" spans="1:28" ht="23.25" customHeight="1">
      <c r="A106" s="457" t="s">
        <v>72</v>
      </c>
      <c r="B106" s="492"/>
      <c r="K106" s="484">
        <f>K104/2</f>
        <v>0.2857142857142857</v>
      </c>
      <c r="L106" s="756" t="s">
        <v>84</v>
      </c>
      <c r="M106" s="756"/>
      <c r="N106" s="756"/>
      <c r="O106" s="756"/>
      <c r="P106" s="756" t="s">
        <v>85</v>
      </c>
      <c r="Q106" s="756"/>
      <c r="R106" s="756"/>
      <c r="S106" s="756"/>
      <c r="T106" s="757"/>
      <c r="U106" s="757"/>
      <c r="V106" s="757"/>
      <c r="W106" s="757"/>
      <c r="X106" s="757"/>
      <c r="Y106" s="757"/>
      <c r="Z106" s="462"/>
      <c r="AA106" s="462"/>
      <c r="AB106" s="462"/>
    </row>
    <row r="107" spans="1:28" ht="23.25" customHeight="1">
      <c r="A107" s="457"/>
      <c r="B107" s="492"/>
      <c r="K107" s="459"/>
      <c r="L107" s="458"/>
      <c r="M107" s="458"/>
      <c r="N107" s="458"/>
      <c r="O107" s="458"/>
      <c r="P107" s="458"/>
      <c r="Q107" s="458"/>
      <c r="R107" s="458"/>
      <c r="S107" s="458"/>
      <c r="T107" s="258"/>
      <c r="U107" s="258"/>
      <c r="V107" s="258"/>
      <c r="W107" s="258"/>
      <c r="X107" s="258"/>
      <c r="Y107" s="258"/>
      <c r="Z107" s="462"/>
      <c r="AA107" s="462"/>
      <c r="AB107" s="462"/>
    </row>
    <row r="108" spans="1:25" ht="25.5" customHeight="1">
      <c r="A108" s="459"/>
      <c r="H108" s="460">
        <v>0</v>
      </c>
      <c r="Q108" s="755" t="s">
        <v>143</v>
      </c>
      <c r="R108" s="755"/>
      <c r="S108" s="755"/>
      <c r="T108" s="755"/>
      <c r="U108" s="755"/>
      <c r="V108" s="755"/>
      <c r="W108" s="755"/>
      <c r="X108" s="755"/>
      <c r="Y108" s="755"/>
    </row>
    <row r="109" spans="1:25" ht="38.25">
      <c r="A109" s="457" t="s">
        <v>73</v>
      </c>
      <c r="B109" s="457"/>
      <c r="C109" s="457"/>
      <c r="D109" s="457"/>
      <c r="E109" s="457"/>
      <c r="F109" s="457"/>
      <c r="G109" s="460">
        <v>1800</v>
      </c>
      <c r="L109" s="460">
        <v>1800</v>
      </c>
      <c r="Q109" s="493" t="s">
        <v>74</v>
      </c>
      <c r="R109" s="493" t="s">
        <v>75</v>
      </c>
      <c r="S109" s="493" t="s">
        <v>141</v>
      </c>
      <c r="T109" s="493" t="s">
        <v>76</v>
      </c>
      <c r="U109" s="493" t="s">
        <v>77</v>
      </c>
      <c r="V109" s="493" t="s">
        <v>78</v>
      </c>
      <c r="W109" s="493" t="s">
        <v>79</v>
      </c>
      <c r="X109" s="493" t="s">
        <v>80</v>
      </c>
      <c r="Y109" s="493" t="s">
        <v>81</v>
      </c>
    </row>
    <row r="110" spans="1:25" ht="25.5" customHeight="1">
      <c r="A110" s="758" t="s">
        <v>899</v>
      </c>
      <c r="B110" s="742"/>
      <c r="C110" s="742"/>
      <c r="D110" s="742"/>
      <c r="E110" s="742"/>
      <c r="F110" s="742"/>
      <c r="G110" s="460">
        <v>840</v>
      </c>
      <c r="H110" s="460">
        <f>IF(I110&gt;=H108,I110,H108)</f>
        <v>1700</v>
      </c>
      <c r="I110" s="461">
        <f>R110-G109</f>
        <v>1700</v>
      </c>
      <c r="J110" s="460">
        <v>2640</v>
      </c>
      <c r="L110" s="460">
        <v>840</v>
      </c>
      <c r="M110" s="460">
        <f>IF(N110&gt;=U124,N110,U124)</f>
        <v>481.25</v>
      </c>
      <c r="N110" s="461">
        <f>Y110-L109</f>
        <v>481.25</v>
      </c>
      <c r="O110" s="460">
        <v>2640</v>
      </c>
      <c r="Q110" s="494">
        <f>Simulatore!C11</f>
        <v>3</v>
      </c>
      <c r="R110" s="483">
        <f>Simulatore!C12</f>
        <v>3500</v>
      </c>
      <c r="S110" s="481">
        <v>0.4</v>
      </c>
      <c r="T110" s="481">
        <f>A!K18</f>
        <v>0.3482142857142857</v>
      </c>
      <c r="U110" s="482">
        <f>IF(Q110&lt;=3.3,R124,R137)</f>
        <v>0.22276310885714287</v>
      </c>
      <c r="V110" s="482">
        <f>IF(Q110&lt;=3.3,AB124,AB137)</f>
        <v>0.1955878841369863</v>
      </c>
      <c r="W110" s="483">
        <f>R110*U110</f>
        <v>779.670881</v>
      </c>
      <c r="X110" s="483">
        <f>V110*Y110</f>
        <v>446.1848606875</v>
      </c>
      <c r="Y110" s="483">
        <f>R110*(100%-T110)</f>
        <v>2281.25</v>
      </c>
    </row>
    <row r="111" spans="1:18" ht="12.75" customHeight="1">
      <c r="A111" s="495" t="s">
        <v>900</v>
      </c>
      <c r="B111" s="457"/>
      <c r="C111" s="457"/>
      <c r="D111" s="457"/>
      <c r="E111" s="457"/>
      <c r="F111" s="457"/>
      <c r="G111" s="460">
        <v>1800</v>
      </c>
      <c r="H111" s="460">
        <f>IF(I111&gt;=H108,I111,H108)</f>
        <v>860</v>
      </c>
      <c r="I111" s="460">
        <f>R110-J110</f>
        <v>860</v>
      </c>
      <c r="J111" s="460">
        <v>4440</v>
      </c>
      <c r="L111" s="460">
        <v>1800</v>
      </c>
      <c r="M111" s="460">
        <f>IF(N111&gt;=U124,N111,U124)</f>
        <v>0</v>
      </c>
      <c r="N111" s="461">
        <f>Y110-O110</f>
        <v>-358.75</v>
      </c>
      <c r="O111" s="460">
        <v>4440</v>
      </c>
      <c r="Q111" s="462" t="s">
        <v>82</v>
      </c>
      <c r="R111" s="462" t="s">
        <v>83</v>
      </c>
    </row>
    <row r="112" spans="1:25" ht="24" customHeight="1">
      <c r="A112" s="495" t="s">
        <v>901</v>
      </c>
      <c r="B112" s="457"/>
      <c r="C112" s="457"/>
      <c r="D112" s="457"/>
      <c r="E112" s="457"/>
      <c r="F112" s="457"/>
      <c r="G112" s="460">
        <f>R110-J111</f>
        <v>-940</v>
      </c>
      <c r="H112" s="460">
        <f>IF(I111&gt;=H108,I111,H108)</f>
        <v>860</v>
      </c>
      <c r="L112" s="461">
        <f>Y110-O111</f>
        <v>-2158.75</v>
      </c>
      <c r="M112" s="460">
        <f>IF(N111&gt;=U124,N111,U124)</f>
        <v>0</v>
      </c>
      <c r="Q112" s="756" t="s">
        <v>84</v>
      </c>
      <c r="R112" s="757"/>
      <c r="S112" s="757"/>
      <c r="T112" s="757"/>
      <c r="U112" s="756" t="s">
        <v>85</v>
      </c>
      <c r="V112" s="757"/>
      <c r="W112" s="757"/>
      <c r="X112" s="757"/>
      <c r="Y112" s="757"/>
    </row>
    <row r="114" ht="15" customHeight="1">
      <c r="A114" s="496" t="s">
        <v>86</v>
      </c>
    </row>
    <row r="115" ht="12" customHeight="1">
      <c r="A115" s="497"/>
    </row>
    <row r="116" spans="1:18" ht="18.75">
      <c r="A116" s="463"/>
      <c r="B116" s="749" t="s">
        <v>87</v>
      </c>
      <c r="C116" s="749"/>
      <c r="D116" s="749"/>
      <c r="E116" s="750" t="s">
        <v>88</v>
      </c>
      <c r="F116" s="750" t="s">
        <v>89</v>
      </c>
      <c r="G116" s="749" t="s">
        <v>90</v>
      </c>
      <c r="H116" s="749"/>
      <c r="I116" s="749"/>
      <c r="K116" s="497"/>
      <c r="O116" s="497"/>
      <c r="P116" s="498" t="s">
        <v>91</v>
      </c>
      <c r="Q116" s="499">
        <v>3</v>
      </c>
      <c r="R116" s="497" t="s">
        <v>82</v>
      </c>
    </row>
    <row r="117" spans="1:22" ht="12.75">
      <c r="A117" s="463"/>
      <c r="B117" s="473" t="s">
        <v>92</v>
      </c>
      <c r="C117" s="754" t="s">
        <v>93</v>
      </c>
      <c r="D117" s="754"/>
      <c r="E117" s="750"/>
      <c r="F117" s="750"/>
      <c r="G117" s="473" t="s">
        <v>92</v>
      </c>
      <c r="H117" s="754" t="s">
        <v>93</v>
      </c>
      <c r="I117" s="754"/>
      <c r="K117" s="462" t="s">
        <v>94</v>
      </c>
      <c r="L117" s="462" t="s">
        <v>95</v>
      </c>
      <c r="U117" s="462" t="s">
        <v>94</v>
      </c>
      <c r="V117" s="462" t="s">
        <v>95</v>
      </c>
    </row>
    <row r="118" spans="1:28" ht="38.25" customHeight="1">
      <c r="A118" s="500" t="s">
        <v>96</v>
      </c>
      <c r="B118" s="473" t="s">
        <v>97</v>
      </c>
      <c r="C118" s="473" t="s">
        <v>98</v>
      </c>
      <c r="D118" s="473" t="s">
        <v>99</v>
      </c>
      <c r="E118" s="473" t="s">
        <v>97</v>
      </c>
      <c r="F118" s="473" t="s">
        <v>97</v>
      </c>
      <c r="G118" s="473" t="s">
        <v>97</v>
      </c>
      <c r="H118" s="473" t="s">
        <v>98</v>
      </c>
      <c r="I118" s="473" t="s">
        <v>99</v>
      </c>
      <c r="J118" s="501"/>
      <c r="K118" s="464">
        <f>S110</f>
        <v>0.4</v>
      </c>
      <c r="L118" s="465">
        <f>100%-$K$18</f>
        <v>0.6</v>
      </c>
      <c r="M118" s="460" t="s">
        <v>94</v>
      </c>
      <c r="N118" s="460" t="s">
        <v>95</v>
      </c>
      <c r="O118" s="460" t="s">
        <v>100</v>
      </c>
      <c r="P118" s="466" t="s">
        <v>101</v>
      </c>
      <c r="Q118" s="466" t="s">
        <v>102</v>
      </c>
      <c r="R118" s="466" t="s">
        <v>103</v>
      </c>
      <c r="T118" s="501"/>
      <c r="U118" s="464">
        <v>0.4</v>
      </c>
      <c r="V118" s="465">
        <f>100%-U118</f>
        <v>0.6</v>
      </c>
      <c r="W118" s="460" t="s">
        <v>94</v>
      </c>
      <c r="X118" s="460" t="s">
        <v>95</v>
      </c>
      <c r="Y118" s="460" t="s">
        <v>100</v>
      </c>
      <c r="Z118" s="466" t="s">
        <v>101</v>
      </c>
      <c r="AA118" s="466" t="s">
        <v>102</v>
      </c>
      <c r="AB118" s="466" t="s">
        <v>103</v>
      </c>
    </row>
    <row r="119" spans="1:25" ht="12.75">
      <c r="A119" s="502" t="s">
        <v>104</v>
      </c>
      <c r="B119" s="476">
        <v>0.10127</v>
      </c>
      <c r="C119" s="476">
        <v>0.1084</v>
      </c>
      <c r="D119" s="476">
        <v>0.09769</v>
      </c>
      <c r="E119" s="476">
        <v>0.00461</v>
      </c>
      <c r="F119" s="474">
        <v>0.027005</v>
      </c>
      <c r="G119" s="474">
        <v>0.132885</v>
      </c>
      <c r="H119" s="474">
        <v>0.140015</v>
      </c>
      <c r="I119" s="474">
        <v>0.129305</v>
      </c>
      <c r="J119" s="461">
        <f>IF($R$10&gt;$G$9,$G$9,$R$10)</f>
        <v>1800</v>
      </c>
      <c r="K119" s="461">
        <f>$J$19*$K$18</f>
        <v>720</v>
      </c>
      <c r="L119" s="461">
        <f>$J$19*$L$18</f>
        <v>1080</v>
      </c>
      <c r="M119" s="467">
        <f>$K$19*$H$19</f>
        <v>100.8108</v>
      </c>
      <c r="N119" s="467">
        <f>$L$19*$I$19</f>
        <v>139.6494</v>
      </c>
      <c r="O119" s="467">
        <f>$G$24</f>
        <v>22.4725</v>
      </c>
      <c r="T119" s="461">
        <f>IF(Y110&gt;$G$9,$G$9,$Y$10)</f>
        <v>1800</v>
      </c>
      <c r="U119" s="461">
        <f>T119*U118</f>
        <v>720</v>
      </c>
      <c r="V119" s="461">
        <f>T119*V118</f>
        <v>1080</v>
      </c>
      <c r="W119" s="467">
        <f>U119*$H$19</f>
        <v>100.8108</v>
      </c>
      <c r="X119" s="467">
        <f>V119*$I$19</f>
        <v>139.6494</v>
      </c>
      <c r="Y119" s="467">
        <f>$G$24</f>
        <v>22.4725</v>
      </c>
    </row>
    <row r="120" spans="1:25" ht="12.75">
      <c r="A120" s="502" t="s">
        <v>105</v>
      </c>
      <c r="B120" s="476">
        <v>0.10492</v>
      </c>
      <c r="C120" s="476">
        <v>0.11205</v>
      </c>
      <c r="D120" s="476">
        <v>0.10134</v>
      </c>
      <c r="E120" s="476">
        <v>0.03925</v>
      </c>
      <c r="F120" s="474">
        <v>0.03984499999999999</v>
      </c>
      <c r="G120" s="474">
        <v>0.18401499999999998</v>
      </c>
      <c r="H120" s="474">
        <v>0.19114499999999998</v>
      </c>
      <c r="I120" s="474">
        <v>0.18043499999999998</v>
      </c>
      <c r="J120" s="461">
        <f>IF($R$10&gt;$J$10,$G$10,$H$10)</f>
        <v>840</v>
      </c>
      <c r="K120" s="461">
        <f>$J$20*$K$18</f>
        <v>336</v>
      </c>
      <c r="L120" s="461">
        <f>$J$20*$L$18</f>
        <v>504</v>
      </c>
      <c r="M120" s="467">
        <f>$K$20*$H$20</f>
        <v>64.22471999999999</v>
      </c>
      <c r="N120" s="467">
        <f>$L$20*$I$20</f>
        <v>90.93924</v>
      </c>
      <c r="O120" s="467">
        <f>$G$25*$Q$16</f>
        <v>16.9191</v>
      </c>
      <c r="T120" s="461">
        <f>IF($Y$10&gt;$J$10,$G$10,M110)</f>
        <v>481.25</v>
      </c>
      <c r="U120" s="461">
        <f>T120*U118</f>
        <v>192.5</v>
      </c>
      <c r="V120" s="461">
        <f>T120*V118</f>
        <v>288.75</v>
      </c>
      <c r="W120" s="467">
        <f>U120*$H$20</f>
        <v>36.7954125</v>
      </c>
      <c r="X120" s="467">
        <f>V120*$I$20</f>
        <v>52.10060625</v>
      </c>
      <c r="Y120" s="467">
        <f>$G$25*$Q$16</f>
        <v>16.9191</v>
      </c>
    </row>
    <row r="121" spans="1:25" ht="12.75">
      <c r="A121" s="502" t="s">
        <v>106</v>
      </c>
      <c r="B121" s="476">
        <v>0.10887999999999999</v>
      </c>
      <c r="C121" s="476">
        <v>0.11600999999999999</v>
      </c>
      <c r="D121" s="476">
        <v>0.10529999999999999</v>
      </c>
      <c r="E121" s="476">
        <v>0.0767</v>
      </c>
      <c r="F121" s="474">
        <v>0.057135</v>
      </c>
      <c r="G121" s="474">
        <v>0.242715</v>
      </c>
      <c r="H121" s="474">
        <v>0.24984499999999998</v>
      </c>
      <c r="I121" s="474">
        <v>0.239135</v>
      </c>
      <c r="J121" s="461">
        <f>IF($R$10&gt;$J$11,$G$11,$H$11)</f>
        <v>860</v>
      </c>
      <c r="K121" s="461">
        <f>$J$21*$K$18</f>
        <v>344</v>
      </c>
      <c r="L121" s="461">
        <f>$J$21*$L$18</f>
        <v>516</v>
      </c>
      <c r="M121" s="467">
        <f>$K$21*$H$21</f>
        <v>85.94668</v>
      </c>
      <c r="N121" s="467">
        <f>$L$21*$I$21</f>
        <v>123.39366</v>
      </c>
      <c r="O121" s="467"/>
      <c r="T121" s="461">
        <f>IF($Y$10&gt;$J$11,$G$11,M111)</f>
        <v>0</v>
      </c>
      <c r="U121" s="461">
        <f>T121*U118</f>
        <v>0</v>
      </c>
      <c r="V121" s="461">
        <f>T121*V118</f>
        <v>0</v>
      </c>
      <c r="W121" s="467">
        <f>U121*$H$21</f>
        <v>0</v>
      </c>
      <c r="X121" s="467">
        <f>V121*$I$21</f>
        <v>0</v>
      </c>
      <c r="Y121" s="467"/>
    </row>
    <row r="122" spans="1:25" ht="12.75">
      <c r="A122" s="502" t="s">
        <v>107</v>
      </c>
      <c r="B122" s="476">
        <v>0.11298</v>
      </c>
      <c r="C122" s="476">
        <v>0.12011</v>
      </c>
      <c r="D122" s="476">
        <v>0.1094</v>
      </c>
      <c r="E122" s="476">
        <v>0.1155</v>
      </c>
      <c r="F122" s="474">
        <v>0.057135</v>
      </c>
      <c r="G122" s="474">
        <v>0.285615</v>
      </c>
      <c r="H122" s="474">
        <v>0.292745</v>
      </c>
      <c r="I122" s="474">
        <v>0.282035</v>
      </c>
      <c r="J122" s="461">
        <f>IF($R$10&gt;$J$11,$G$12,$H$8)</f>
        <v>0</v>
      </c>
      <c r="K122" s="461">
        <f>$J$22*$K$18</f>
        <v>0</v>
      </c>
      <c r="L122" s="461">
        <f>$J$22*$L$18</f>
        <v>0</v>
      </c>
      <c r="M122" s="467">
        <f>$K$22*$H$22</f>
        <v>0</v>
      </c>
      <c r="N122" s="467">
        <f>$L$22*$I$22</f>
        <v>0</v>
      </c>
      <c r="O122" s="467"/>
      <c r="T122" s="461">
        <f>IF($Y$10&gt;$J$11,L112,$H$8)</f>
        <v>0</v>
      </c>
      <c r="U122" s="461">
        <f>T122*U118</f>
        <v>0</v>
      </c>
      <c r="V122" s="461">
        <f>T122*V118</f>
        <v>0</v>
      </c>
      <c r="W122" s="467">
        <f>U122*$H$22</f>
        <v>0</v>
      </c>
      <c r="X122" s="467">
        <f>V122*$I$22</f>
        <v>0</v>
      </c>
      <c r="Y122" s="467"/>
    </row>
    <row r="123" spans="1:28" ht="12.75">
      <c r="A123" s="502" t="s">
        <v>108</v>
      </c>
      <c r="B123" s="503">
        <f aca="true" t="shared" si="2" ref="B123:I123">SUM(B119:B122)/4</f>
        <v>0.10701249999999998</v>
      </c>
      <c r="C123" s="503">
        <f t="shared" si="2"/>
        <v>0.1141425</v>
      </c>
      <c r="D123" s="503">
        <f t="shared" si="2"/>
        <v>0.1034325</v>
      </c>
      <c r="E123" s="504">
        <f t="shared" si="2"/>
        <v>0.059015</v>
      </c>
      <c r="F123" s="505">
        <f t="shared" si="2"/>
        <v>0.045279999999999994</v>
      </c>
      <c r="G123" s="506">
        <f t="shared" si="2"/>
        <v>0.21130749999999998</v>
      </c>
      <c r="H123" s="506">
        <f t="shared" si="2"/>
        <v>0.2184375</v>
      </c>
      <c r="I123" s="506">
        <f t="shared" si="2"/>
        <v>0.2077275</v>
      </c>
      <c r="J123" s="461">
        <f>SUM(J119:J122)</f>
        <v>3500</v>
      </c>
      <c r="K123" s="461"/>
      <c r="L123" s="461"/>
      <c r="M123" s="467">
        <f>SUM(M119:M122)</f>
        <v>250.98219999999998</v>
      </c>
      <c r="N123" s="467">
        <f>SUM(N119:N122)</f>
        <v>353.9823</v>
      </c>
      <c r="O123" s="467">
        <f>SUM(O119:O122)</f>
        <v>39.3916</v>
      </c>
      <c r="P123" s="468">
        <f>(M123+N123)/J123</f>
        <v>0.172847</v>
      </c>
      <c r="Q123" s="469">
        <f>O123/J123</f>
        <v>0.011254742857142857</v>
      </c>
      <c r="R123" s="507">
        <f>P123+Q123</f>
        <v>0.18410174285714287</v>
      </c>
      <c r="T123" s="461">
        <f>SUM(T119:T122)</f>
        <v>2281.25</v>
      </c>
      <c r="U123" s="461"/>
      <c r="V123" s="461"/>
      <c r="W123" s="467">
        <f>SUM(W119:W122)</f>
        <v>137.6062125</v>
      </c>
      <c r="X123" s="467">
        <f>SUM(X119:X122)</f>
        <v>191.75000625</v>
      </c>
      <c r="Y123" s="467">
        <f>SUM(Y119:Y122)</f>
        <v>39.3916</v>
      </c>
      <c r="Z123" s="468">
        <f>(W123+X123)/T123</f>
        <v>0.1443753287671233</v>
      </c>
      <c r="AA123" s="469">
        <f>Y123/T123</f>
        <v>0.017267550684931507</v>
      </c>
      <c r="AB123" s="507">
        <f>Z123+AA123</f>
        <v>0.1616428794520548</v>
      </c>
    </row>
    <row r="124" spans="1:28" ht="18.75">
      <c r="A124" s="500" t="s">
        <v>109</v>
      </c>
      <c r="B124" s="747">
        <v>16.4725</v>
      </c>
      <c r="C124" s="747"/>
      <c r="D124" s="747"/>
      <c r="F124" s="476">
        <v>0.1697</v>
      </c>
      <c r="G124" s="747">
        <v>22.4725</v>
      </c>
      <c r="H124" s="747"/>
      <c r="I124" s="747"/>
      <c r="J124" s="501"/>
      <c r="P124" s="508">
        <f>P123*1.21</f>
        <v>0.20914486999999998</v>
      </c>
      <c r="R124" s="508">
        <f>R123*1.21</f>
        <v>0.22276310885714287</v>
      </c>
      <c r="T124" s="501"/>
      <c r="U124" s="460">
        <v>0</v>
      </c>
      <c r="Z124" s="508">
        <f>Z123*1.21</f>
        <v>0.1746941478082192</v>
      </c>
      <c r="AB124" s="508">
        <f>AB123*1.21</f>
        <v>0.1955878841369863</v>
      </c>
    </row>
    <row r="125" spans="1:9" ht="12.75">
      <c r="A125" s="500" t="s">
        <v>110</v>
      </c>
      <c r="E125" s="476">
        <v>5.47</v>
      </c>
      <c r="G125" s="747">
        <v>5.6396999999999995</v>
      </c>
      <c r="H125" s="747"/>
      <c r="I125" s="747"/>
    </row>
    <row r="126" spans="2:10" ht="12.75">
      <c r="B126" s="470"/>
      <c r="C126" s="471"/>
      <c r="D126" s="471"/>
      <c r="E126" s="476">
        <v>6</v>
      </c>
      <c r="F126" s="472"/>
      <c r="J126" s="467"/>
    </row>
    <row r="127" ht="15" customHeight="1">
      <c r="A127" s="496" t="s">
        <v>111</v>
      </c>
    </row>
    <row r="128" ht="12.75" customHeight="1">
      <c r="A128" s="497"/>
    </row>
    <row r="129" spans="1:18" ht="12.75" customHeight="1">
      <c r="A129" s="463"/>
      <c r="B129" s="749" t="s">
        <v>87</v>
      </c>
      <c r="C129" s="749"/>
      <c r="D129" s="749"/>
      <c r="E129" s="750" t="s">
        <v>88</v>
      </c>
      <c r="F129" s="750" t="s">
        <v>89</v>
      </c>
      <c r="G129" s="749" t="s">
        <v>90</v>
      </c>
      <c r="H129" s="749"/>
      <c r="I129" s="749"/>
      <c r="O129" s="497"/>
      <c r="P129" s="498" t="s">
        <v>91</v>
      </c>
      <c r="Q129" s="499">
        <v>4.5</v>
      </c>
      <c r="R129" s="497" t="s">
        <v>36</v>
      </c>
    </row>
    <row r="130" spans="1:12" ht="12.75">
      <c r="A130" s="463"/>
      <c r="B130" s="473" t="s">
        <v>92</v>
      </c>
      <c r="C130" s="754" t="s">
        <v>93</v>
      </c>
      <c r="D130" s="754"/>
      <c r="E130" s="750"/>
      <c r="F130" s="750"/>
      <c r="G130" s="473" t="s">
        <v>92</v>
      </c>
      <c r="H130" s="754" t="s">
        <v>93</v>
      </c>
      <c r="I130" s="754"/>
      <c r="K130" s="462" t="s">
        <v>94</v>
      </c>
      <c r="L130" s="462" t="s">
        <v>95</v>
      </c>
    </row>
    <row r="131" spans="1:18" ht="38.25">
      <c r="A131" s="500" t="s">
        <v>96</v>
      </c>
      <c r="B131" s="473" t="s">
        <v>97</v>
      </c>
      <c r="C131" s="473" t="s">
        <v>98</v>
      </c>
      <c r="D131" s="473" t="s">
        <v>99</v>
      </c>
      <c r="E131" s="473" t="s">
        <v>97</v>
      </c>
      <c r="F131" s="473" t="s">
        <v>97</v>
      </c>
      <c r="G131" s="473" t="s">
        <v>97</v>
      </c>
      <c r="H131" s="473" t="s">
        <v>98</v>
      </c>
      <c r="I131" s="473" t="s">
        <v>99</v>
      </c>
      <c r="J131" s="501"/>
      <c r="K131" s="465">
        <f>K118</f>
        <v>0.4</v>
      </c>
      <c r="L131" s="465">
        <f>100%-K131</f>
        <v>0.6</v>
      </c>
      <c r="M131" s="460" t="s">
        <v>94</v>
      </c>
      <c r="N131" s="460" t="s">
        <v>95</v>
      </c>
      <c r="O131" s="460" t="s">
        <v>100</v>
      </c>
      <c r="P131" s="466" t="s">
        <v>101</v>
      </c>
      <c r="Q131" s="466" t="s">
        <v>102</v>
      </c>
      <c r="R131" s="466" t="s">
        <v>103</v>
      </c>
    </row>
    <row r="132" spans="1:15" ht="12.75">
      <c r="A132" s="502" t="s">
        <v>104</v>
      </c>
      <c r="B132" s="752">
        <v>0.10078</v>
      </c>
      <c r="C132" s="752">
        <v>0.10790999999999999</v>
      </c>
      <c r="D132" s="752">
        <v>0.0972</v>
      </c>
      <c r="E132" s="476">
        <v>0.02355</v>
      </c>
      <c r="F132" s="753">
        <v>0.057135</v>
      </c>
      <c r="G132" s="474">
        <v>0.181465</v>
      </c>
      <c r="H132" s="474">
        <v>0.18859499999999998</v>
      </c>
      <c r="I132" s="474">
        <v>0.177885</v>
      </c>
      <c r="J132" s="461">
        <f>IF($R$10&gt;$G$9,$G$9,$R$10)</f>
        <v>1800</v>
      </c>
      <c r="K132" s="461">
        <f>J132*$K$18</f>
        <v>720</v>
      </c>
      <c r="L132" s="461">
        <f>J132*$L$18</f>
        <v>1080</v>
      </c>
      <c r="M132" s="467">
        <f aca="true" t="shared" si="3" ref="M132:N135">K132*H132</f>
        <v>135.7884</v>
      </c>
      <c r="N132" s="467">
        <f t="shared" si="3"/>
        <v>192.11579999999998</v>
      </c>
      <c r="O132" s="467">
        <f>G136</f>
        <v>44.5622</v>
      </c>
    </row>
    <row r="133" spans="1:15" ht="12.75">
      <c r="A133" s="502" t="s">
        <v>105</v>
      </c>
      <c r="B133" s="752"/>
      <c r="C133" s="752"/>
      <c r="D133" s="752"/>
      <c r="E133" s="476">
        <v>0.03925</v>
      </c>
      <c r="F133" s="753"/>
      <c r="G133" s="474">
        <v>0.19716499999999998</v>
      </c>
      <c r="H133" s="474">
        <v>0.20429499999999998</v>
      </c>
      <c r="I133" s="474">
        <v>0.19358499999999998</v>
      </c>
      <c r="J133" s="461">
        <f>IF($R$10&gt;$J$10,$G$10,$H$10)</f>
        <v>840</v>
      </c>
      <c r="K133" s="461">
        <f>J133*$K$18</f>
        <v>336</v>
      </c>
      <c r="L133" s="461">
        <f>J133*$L$18</f>
        <v>504</v>
      </c>
      <c r="M133" s="467">
        <f t="shared" si="3"/>
        <v>68.64312</v>
      </c>
      <c r="N133" s="467">
        <f t="shared" si="3"/>
        <v>97.56683999999998</v>
      </c>
      <c r="O133" s="467">
        <f>G137*Q129</f>
        <v>68.57865000000001</v>
      </c>
    </row>
    <row r="134" spans="1:15" ht="12.75">
      <c r="A134" s="502" t="s">
        <v>106</v>
      </c>
      <c r="B134" s="752"/>
      <c r="C134" s="752"/>
      <c r="D134" s="752"/>
      <c r="E134" s="476">
        <v>0.0767</v>
      </c>
      <c r="F134" s="753"/>
      <c r="G134" s="474">
        <v>0.234615</v>
      </c>
      <c r="H134" s="474">
        <v>0.241745</v>
      </c>
      <c r="I134" s="474">
        <v>0.231035</v>
      </c>
      <c r="J134" s="461">
        <f>IF($R$10&gt;$J$11,$G$11,$H$11)</f>
        <v>860</v>
      </c>
      <c r="K134" s="461">
        <f>J134*$K$18</f>
        <v>344</v>
      </c>
      <c r="L134" s="461">
        <f>J134*$L$18</f>
        <v>516</v>
      </c>
      <c r="M134" s="467">
        <f t="shared" si="3"/>
        <v>83.16028</v>
      </c>
      <c r="N134" s="467">
        <f t="shared" si="3"/>
        <v>119.21405999999999</v>
      </c>
      <c r="O134" s="467"/>
    </row>
    <row r="135" spans="1:15" ht="12.75">
      <c r="A135" s="502" t="s">
        <v>107</v>
      </c>
      <c r="B135" s="752"/>
      <c r="C135" s="752"/>
      <c r="D135" s="752"/>
      <c r="E135" s="476">
        <v>0.1155</v>
      </c>
      <c r="F135" s="753"/>
      <c r="G135" s="474">
        <v>0.273415</v>
      </c>
      <c r="H135" s="474">
        <v>0.280545</v>
      </c>
      <c r="I135" s="474">
        <v>0.269835</v>
      </c>
      <c r="J135" s="461">
        <f>IF($R$10&gt;$J$11,$G$12,$H$8)</f>
        <v>0</v>
      </c>
      <c r="K135" s="461">
        <f>J135*$K$18</f>
        <v>0</v>
      </c>
      <c r="L135" s="461">
        <f>J135*$L$18</f>
        <v>0</v>
      </c>
      <c r="M135" s="467">
        <f t="shared" si="3"/>
        <v>0</v>
      </c>
      <c r="N135" s="467">
        <f t="shared" si="3"/>
        <v>0</v>
      </c>
      <c r="O135" s="467"/>
    </row>
    <row r="136" spans="1:18" ht="12.75">
      <c r="A136" s="500" t="s">
        <v>109</v>
      </c>
      <c r="B136" s="747">
        <v>22.27</v>
      </c>
      <c r="C136" s="747"/>
      <c r="D136" s="747"/>
      <c r="E136" s="476">
        <v>22.2922</v>
      </c>
      <c r="F136" s="463"/>
      <c r="G136" s="747">
        <v>44.5622</v>
      </c>
      <c r="H136" s="747"/>
      <c r="I136" s="747"/>
      <c r="J136" s="461">
        <f>SUM(J132:J135)</f>
        <v>3500</v>
      </c>
      <c r="K136" s="461"/>
      <c r="L136" s="461"/>
      <c r="M136" s="467">
        <f>SUM(M132:M135)</f>
        <v>287.5918</v>
      </c>
      <c r="N136" s="467">
        <f>SUM(N132:N135)</f>
        <v>408.8967</v>
      </c>
      <c r="O136" s="467">
        <f>SUM(O132:O135)</f>
        <v>113.14085</v>
      </c>
      <c r="P136" s="468">
        <f>(M136+N136)/J136</f>
        <v>0.19899671428571428</v>
      </c>
      <c r="Q136" s="469">
        <f>O136/J136</f>
        <v>0.032325957142857145</v>
      </c>
      <c r="R136" s="507">
        <f>P136+Q136</f>
        <v>0.23132267142857144</v>
      </c>
    </row>
    <row r="137" spans="1:28" ht="18.75">
      <c r="A137" s="500" t="s">
        <v>110</v>
      </c>
      <c r="E137" s="476">
        <v>15.07</v>
      </c>
      <c r="F137" s="476">
        <v>0.1697</v>
      </c>
      <c r="G137" s="747">
        <v>15.239700000000001</v>
      </c>
      <c r="H137" s="747"/>
      <c r="I137" s="747"/>
      <c r="J137" s="501"/>
      <c r="P137" s="508">
        <f>P136*1.21</f>
        <v>0.24078602428571427</v>
      </c>
      <c r="R137" s="508">
        <f>R136*1.21</f>
        <v>0.27990043242857143</v>
      </c>
      <c r="Z137" s="508">
        <f>P137*Z124/P124</f>
        <v>0.20112331379068504</v>
      </c>
      <c r="AB137" s="508">
        <f>R137*AB124/R124</f>
        <v>0.24575493504554938</v>
      </c>
    </row>
    <row r="138" ht="12.75">
      <c r="J138" s="501"/>
    </row>
    <row r="139" spans="3:6" ht="12.75">
      <c r="C139" s="503"/>
      <c r="D139" s="503"/>
      <c r="F139" s="503"/>
    </row>
    <row r="140" spans="1:9" ht="15">
      <c r="A140" s="751" t="s">
        <v>112</v>
      </c>
      <c r="B140" s="751"/>
      <c r="C140" s="751"/>
      <c r="D140" s="751"/>
      <c r="E140" s="751"/>
      <c r="F140" s="751"/>
      <c r="G140" s="751"/>
      <c r="H140" s="751"/>
      <c r="I140" s="751"/>
    </row>
    <row r="141" spans="1:9" ht="12.75" customHeight="1">
      <c r="A141" s="495" t="s">
        <v>902</v>
      </c>
      <c r="B141" s="457"/>
      <c r="C141" s="457"/>
      <c r="D141" s="457"/>
      <c r="E141" s="457"/>
      <c r="F141" s="457"/>
      <c r="G141" s="457"/>
      <c r="H141" s="457"/>
      <c r="I141" s="457"/>
    </row>
    <row r="142" spans="1:9" ht="12.75" customHeight="1">
      <c r="A142" s="495" t="s">
        <v>903</v>
      </c>
      <c r="B142" s="457"/>
      <c r="C142" s="457"/>
      <c r="D142" s="457"/>
      <c r="E142" s="457"/>
      <c r="F142" s="457"/>
      <c r="G142" s="457"/>
      <c r="H142" s="457"/>
      <c r="I142" s="457"/>
    </row>
    <row r="143" spans="1:9" ht="12.75" customHeight="1">
      <c r="A143" s="495" t="s">
        <v>901</v>
      </c>
      <c r="B143" s="457"/>
      <c r="C143" s="457"/>
      <c r="D143" s="457"/>
      <c r="E143" s="457"/>
      <c r="F143" s="457"/>
      <c r="G143" s="457"/>
      <c r="H143" s="457"/>
      <c r="I143" s="457"/>
    </row>
    <row r="144" ht="12.75" customHeight="1"/>
    <row r="145" ht="15" customHeight="1">
      <c r="A145" s="496" t="s">
        <v>113</v>
      </c>
    </row>
    <row r="146" ht="12.75">
      <c r="A146" s="497"/>
    </row>
    <row r="147" ht="15" customHeight="1">
      <c r="A147" s="475" t="s">
        <v>114</v>
      </c>
    </row>
    <row r="148" spans="2:9" s="509" customFormat="1" ht="12.75" customHeight="1">
      <c r="B148" s="749" t="s">
        <v>87</v>
      </c>
      <c r="C148" s="749"/>
      <c r="D148" s="749"/>
      <c r="E148" s="750" t="s">
        <v>88</v>
      </c>
      <c r="F148" s="750" t="s">
        <v>115</v>
      </c>
      <c r="G148" s="749" t="s">
        <v>90</v>
      </c>
      <c r="H148" s="749"/>
      <c r="I148" s="749"/>
    </row>
    <row r="149" spans="1:9" s="509" customFormat="1" ht="12.75">
      <c r="A149" s="500" t="s">
        <v>96</v>
      </c>
      <c r="B149" s="473" t="s">
        <v>98</v>
      </c>
      <c r="C149" s="473" t="s">
        <v>116</v>
      </c>
      <c r="D149" s="473" t="s">
        <v>117</v>
      </c>
      <c r="E149" s="750"/>
      <c r="F149" s="750"/>
      <c r="G149" s="473" t="s">
        <v>98</v>
      </c>
      <c r="H149" s="473" t="s">
        <v>116</v>
      </c>
      <c r="I149" s="473" t="s">
        <v>117</v>
      </c>
    </row>
    <row r="150" spans="1:9" s="509" customFormat="1" ht="12.75">
      <c r="A150" s="510" t="s">
        <v>118</v>
      </c>
      <c r="B150" s="476">
        <v>0.11203000000000002</v>
      </c>
      <c r="C150" s="476">
        <v>0.11065000000000001</v>
      </c>
      <c r="D150" s="476">
        <v>0.08611</v>
      </c>
      <c r="E150" s="745">
        <v>0.00619</v>
      </c>
      <c r="F150" s="746">
        <v>0.04004499999999999</v>
      </c>
      <c r="G150" s="474">
        <v>0.15826500000000002</v>
      </c>
      <c r="H150" s="474">
        <v>0.156885</v>
      </c>
      <c r="I150" s="474">
        <v>0.132345</v>
      </c>
    </row>
    <row r="151" spans="1:9" s="509" customFormat="1" ht="12.75">
      <c r="A151" s="510" t="s">
        <v>119</v>
      </c>
      <c r="B151" s="476">
        <v>0.1004</v>
      </c>
      <c r="C151" s="476">
        <v>0.11082000000000003</v>
      </c>
      <c r="D151" s="476">
        <v>0.08804000000000002</v>
      </c>
      <c r="E151" s="745"/>
      <c r="F151" s="746"/>
      <c r="G151" s="474">
        <v>0.146635</v>
      </c>
      <c r="H151" s="474">
        <v>0.15705500000000003</v>
      </c>
      <c r="I151" s="474">
        <v>0.134275</v>
      </c>
    </row>
    <row r="152" spans="1:9" s="509" customFormat="1" ht="12.75">
      <c r="A152" s="510" t="s">
        <v>120</v>
      </c>
      <c r="B152" s="476">
        <v>0.10538000000000002</v>
      </c>
      <c r="C152" s="476">
        <v>0.11208</v>
      </c>
      <c r="D152" s="476">
        <v>0.08968000000000002</v>
      </c>
      <c r="E152" s="745"/>
      <c r="F152" s="746"/>
      <c r="G152" s="474">
        <v>0.151615</v>
      </c>
      <c r="H152" s="474">
        <v>0.15831499999999998</v>
      </c>
      <c r="I152" s="474">
        <v>0.135915</v>
      </c>
    </row>
    <row r="153" spans="1:9" s="509" customFormat="1" ht="12.75">
      <c r="A153" s="500" t="s">
        <v>109</v>
      </c>
      <c r="B153" s="747">
        <v>40.388000000000005</v>
      </c>
      <c r="C153" s="747"/>
      <c r="D153" s="747"/>
      <c r="E153" s="476">
        <v>27.558600000000002</v>
      </c>
      <c r="F153" s="476">
        <v>1.4357</v>
      </c>
      <c r="G153" s="747">
        <v>69.3823</v>
      </c>
      <c r="H153" s="747"/>
      <c r="I153" s="747"/>
    </row>
    <row r="154" spans="1:9" s="509" customFormat="1" ht="12.75">
      <c r="A154" s="500" t="s">
        <v>110</v>
      </c>
      <c r="B154" s="747"/>
      <c r="C154" s="747"/>
      <c r="D154" s="747"/>
      <c r="E154" s="476">
        <v>31.4736</v>
      </c>
      <c r="F154" s="476"/>
      <c r="G154" s="747">
        <v>31.4736</v>
      </c>
      <c r="H154" s="747"/>
      <c r="I154" s="747"/>
    </row>
    <row r="156" ht="15" customHeight="1">
      <c r="A156" s="475" t="s">
        <v>121</v>
      </c>
    </row>
    <row r="157" spans="2:9" s="509" customFormat="1" ht="12.75" customHeight="1">
      <c r="B157" s="749" t="s">
        <v>87</v>
      </c>
      <c r="C157" s="749"/>
      <c r="D157" s="749"/>
      <c r="E157" s="750" t="s">
        <v>88</v>
      </c>
      <c r="F157" s="750" t="s">
        <v>115</v>
      </c>
      <c r="G157" s="749" t="s">
        <v>90</v>
      </c>
      <c r="H157" s="749"/>
      <c r="I157" s="749"/>
    </row>
    <row r="158" spans="1:9" s="509" customFormat="1" ht="12.75">
      <c r="A158" s="500" t="s">
        <v>96</v>
      </c>
      <c r="B158" s="473" t="s">
        <v>98</v>
      </c>
      <c r="C158" s="473" t="s">
        <v>116</v>
      </c>
      <c r="D158" s="473" t="s">
        <v>117</v>
      </c>
      <c r="E158" s="750"/>
      <c r="F158" s="750"/>
      <c r="G158" s="473" t="s">
        <v>98</v>
      </c>
      <c r="H158" s="473" t="s">
        <v>116</v>
      </c>
      <c r="I158" s="473" t="s">
        <v>117</v>
      </c>
    </row>
    <row r="159" spans="1:9" s="509" customFormat="1" ht="12.75">
      <c r="A159" s="510" t="s">
        <v>118</v>
      </c>
      <c r="B159" s="476">
        <v>0.11203000000000002</v>
      </c>
      <c r="C159" s="476">
        <v>0.11065000000000001</v>
      </c>
      <c r="D159" s="476">
        <v>0.08611</v>
      </c>
      <c r="E159" s="745">
        <v>0.00619</v>
      </c>
      <c r="F159" s="746">
        <v>0.052704999999999995</v>
      </c>
      <c r="G159" s="474">
        <v>0.17092500000000002</v>
      </c>
      <c r="H159" s="474">
        <v>0.169545</v>
      </c>
      <c r="I159" s="474">
        <v>0.145005</v>
      </c>
    </row>
    <row r="160" spans="1:9" s="509" customFormat="1" ht="12.75">
      <c r="A160" s="510" t="s">
        <v>119</v>
      </c>
      <c r="B160" s="476">
        <v>0.1004</v>
      </c>
      <c r="C160" s="476">
        <v>0.11082000000000003</v>
      </c>
      <c r="D160" s="476">
        <v>0.08804000000000002</v>
      </c>
      <c r="E160" s="745"/>
      <c r="F160" s="746"/>
      <c r="G160" s="474">
        <v>0.159295</v>
      </c>
      <c r="H160" s="474">
        <v>0.16971500000000003</v>
      </c>
      <c r="I160" s="474">
        <v>0.146935</v>
      </c>
    </row>
    <row r="161" spans="1:9" s="509" customFormat="1" ht="12.75">
      <c r="A161" s="510" t="s">
        <v>120</v>
      </c>
      <c r="B161" s="476">
        <v>0.10538000000000002</v>
      </c>
      <c r="C161" s="476">
        <v>0.11208</v>
      </c>
      <c r="D161" s="476">
        <v>0.08968000000000002</v>
      </c>
      <c r="E161" s="745"/>
      <c r="F161" s="746"/>
      <c r="G161" s="474">
        <v>0.164275</v>
      </c>
      <c r="H161" s="474">
        <v>0.170975</v>
      </c>
      <c r="I161" s="474">
        <v>0.148575</v>
      </c>
    </row>
    <row r="162" spans="1:9" s="509" customFormat="1" ht="12.75">
      <c r="A162" s="500" t="s">
        <v>109</v>
      </c>
      <c r="B162" s="747">
        <v>40.388000000000005</v>
      </c>
      <c r="C162" s="747"/>
      <c r="D162" s="747"/>
      <c r="E162" s="476">
        <v>27.558600000000002</v>
      </c>
      <c r="F162" s="476">
        <v>116.9692</v>
      </c>
      <c r="G162" s="747">
        <v>184.9158</v>
      </c>
      <c r="H162" s="747"/>
      <c r="I162" s="747"/>
    </row>
    <row r="163" spans="1:9" s="509" customFormat="1" ht="12.75">
      <c r="A163" s="500" t="s">
        <v>110</v>
      </c>
      <c r="B163" s="748"/>
      <c r="C163" s="748"/>
      <c r="D163" s="748"/>
      <c r="E163" s="476">
        <v>29.8083</v>
      </c>
      <c r="F163" s="476"/>
      <c r="G163" s="747">
        <v>29.8083</v>
      </c>
      <c r="H163" s="747"/>
      <c r="I163" s="747"/>
    </row>
    <row r="165" ht="15" customHeight="1">
      <c r="A165" s="475" t="s">
        <v>122</v>
      </c>
    </row>
    <row r="166" spans="2:9" s="509" customFormat="1" ht="12.75" customHeight="1">
      <c r="B166" s="749" t="s">
        <v>87</v>
      </c>
      <c r="C166" s="749"/>
      <c r="D166" s="749"/>
      <c r="E166" s="750" t="s">
        <v>88</v>
      </c>
      <c r="F166" s="750" t="s">
        <v>115</v>
      </c>
      <c r="G166" s="749" t="s">
        <v>90</v>
      </c>
      <c r="H166" s="749"/>
      <c r="I166" s="749"/>
    </row>
    <row r="167" spans="1:9" s="509" customFormat="1" ht="12.75">
      <c r="A167" s="500" t="s">
        <v>96</v>
      </c>
      <c r="B167" s="473" t="s">
        <v>98</v>
      </c>
      <c r="C167" s="473" t="s">
        <v>116</v>
      </c>
      <c r="D167" s="473" t="s">
        <v>117</v>
      </c>
      <c r="E167" s="750"/>
      <c r="F167" s="750"/>
      <c r="G167" s="473" t="s">
        <v>98</v>
      </c>
      <c r="H167" s="473" t="s">
        <v>116</v>
      </c>
      <c r="I167" s="473" t="s">
        <v>117</v>
      </c>
    </row>
    <row r="168" spans="1:9" s="509" customFormat="1" ht="12.75">
      <c r="A168" s="510" t="s">
        <v>118</v>
      </c>
      <c r="B168" s="476">
        <v>0.11203000000000002</v>
      </c>
      <c r="C168" s="476">
        <v>0.11065000000000001</v>
      </c>
      <c r="D168" s="476">
        <v>0.08611</v>
      </c>
      <c r="E168" s="745">
        <v>0.00619</v>
      </c>
      <c r="F168" s="746">
        <v>0.052704999999999995</v>
      </c>
      <c r="G168" s="474">
        <v>0.17092500000000002</v>
      </c>
      <c r="H168" s="474">
        <v>0.169545</v>
      </c>
      <c r="I168" s="474">
        <v>0.145005</v>
      </c>
    </row>
    <row r="169" spans="1:9" s="509" customFormat="1" ht="12.75">
      <c r="A169" s="510" t="s">
        <v>119</v>
      </c>
      <c r="B169" s="476">
        <v>0.1004</v>
      </c>
      <c r="C169" s="476">
        <v>0.11082000000000003</v>
      </c>
      <c r="D169" s="476">
        <v>0.08804000000000002</v>
      </c>
      <c r="E169" s="745"/>
      <c r="F169" s="746"/>
      <c r="G169" s="474">
        <v>0.159295</v>
      </c>
      <c r="H169" s="474">
        <v>0.16971500000000003</v>
      </c>
      <c r="I169" s="474">
        <v>0.146935</v>
      </c>
    </row>
    <row r="170" spans="1:9" s="509" customFormat="1" ht="12.75">
      <c r="A170" s="510" t="s">
        <v>120</v>
      </c>
      <c r="B170" s="476">
        <v>0.10538000000000002</v>
      </c>
      <c r="C170" s="476">
        <v>0.11208</v>
      </c>
      <c r="D170" s="476">
        <v>0.08968000000000002</v>
      </c>
      <c r="E170" s="745"/>
      <c r="F170" s="746"/>
      <c r="G170" s="474">
        <v>0.164275</v>
      </c>
      <c r="H170" s="474">
        <v>0.170975</v>
      </c>
      <c r="I170" s="474">
        <v>0.148575</v>
      </c>
    </row>
    <row r="171" spans="1:9" s="509" customFormat="1" ht="12.75">
      <c r="A171" s="500" t="s">
        <v>109</v>
      </c>
      <c r="B171" s="747">
        <v>40.388000000000005</v>
      </c>
      <c r="C171" s="747"/>
      <c r="D171" s="747"/>
      <c r="E171" s="476">
        <v>27.558600000000002</v>
      </c>
      <c r="F171" s="476">
        <v>116.9692</v>
      </c>
      <c r="G171" s="747">
        <v>184.9158</v>
      </c>
      <c r="H171" s="747"/>
      <c r="I171" s="747"/>
    </row>
    <row r="172" spans="1:9" s="509" customFormat="1" ht="12.75">
      <c r="A172" s="500" t="s">
        <v>110</v>
      </c>
      <c r="B172" s="748"/>
      <c r="C172" s="748"/>
      <c r="D172" s="748"/>
      <c r="E172" s="476">
        <v>33.1389</v>
      </c>
      <c r="F172" s="476"/>
      <c r="G172" s="747">
        <v>33.1389</v>
      </c>
      <c r="H172" s="747"/>
      <c r="I172" s="747"/>
    </row>
    <row r="174" ht="15" customHeight="1">
      <c r="A174" s="475" t="s">
        <v>123</v>
      </c>
    </row>
    <row r="175" spans="2:9" s="509" customFormat="1" ht="12.75" customHeight="1">
      <c r="B175" s="749" t="s">
        <v>87</v>
      </c>
      <c r="C175" s="749"/>
      <c r="D175" s="749"/>
      <c r="E175" s="750" t="s">
        <v>88</v>
      </c>
      <c r="F175" s="750" t="s">
        <v>115</v>
      </c>
      <c r="G175" s="749" t="s">
        <v>90</v>
      </c>
      <c r="H175" s="749"/>
      <c r="I175" s="749"/>
    </row>
    <row r="176" spans="1:9" s="509" customFormat="1" ht="12.75">
      <c r="A176" s="500" t="s">
        <v>96</v>
      </c>
      <c r="B176" s="473" t="s">
        <v>98</v>
      </c>
      <c r="C176" s="473" t="s">
        <v>116</v>
      </c>
      <c r="D176" s="473" t="s">
        <v>117</v>
      </c>
      <c r="E176" s="750"/>
      <c r="F176" s="750"/>
      <c r="G176" s="473" t="s">
        <v>98</v>
      </c>
      <c r="H176" s="473" t="s">
        <v>116</v>
      </c>
      <c r="I176" s="473" t="s">
        <v>117</v>
      </c>
    </row>
    <row r="177" spans="1:9" s="509" customFormat="1" ht="12.75">
      <c r="A177" s="510" t="s">
        <v>118</v>
      </c>
      <c r="B177" s="476">
        <v>0.11203000000000002</v>
      </c>
      <c r="C177" s="476">
        <v>0.11065000000000001</v>
      </c>
      <c r="D177" s="476">
        <v>0.08611</v>
      </c>
      <c r="E177" s="745">
        <v>0.00619</v>
      </c>
      <c r="F177" s="746">
        <v>0.052704999999999995</v>
      </c>
      <c r="G177" s="474">
        <v>0.17092500000000002</v>
      </c>
      <c r="H177" s="474">
        <v>0.169545</v>
      </c>
      <c r="I177" s="474">
        <v>0.145005</v>
      </c>
    </row>
    <row r="178" spans="1:9" s="509" customFormat="1" ht="12.75">
      <c r="A178" s="510" t="s">
        <v>119</v>
      </c>
      <c r="B178" s="476">
        <v>0.1004</v>
      </c>
      <c r="C178" s="476">
        <v>0.11082000000000003</v>
      </c>
      <c r="D178" s="476">
        <v>0.08804000000000002</v>
      </c>
      <c r="E178" s="745"/>
      <c r="F178" s="746"/>
      <c r="G178" s="474">
        <v>0.159295</v>
      </c>
      <c r="H178" s="474">
        <v>0.16971500000000003</v>
      </c>
      <c r="I178" s="474">
        <v>0.146935</v>
      </c>
    </row>
    <row r="179" spans="1:9" s="509" customFormat="1" ht="12.75">
      <c r="A179" s="510" t="s">
        <v>120</v>
      </c>
      <c r="B179" s="476">
        <v>0.10538000000000002</v>
      </c>
      <c r="C179" s="476">
        <v>0.11208</v>
      </c>
      <c r="D179" s="476">
        <v>0.08968000000000002</v>
      </c>
      <c r="E179" s="745"/>
      <c r="F179" s="746"/>
      <c r="G179" s="474">
        <v>0.164275</v>
      </c>
      <c r="H179" s="474">
        <v>0.170975</v>
      </c>
      <c r="I179" s="474">
        <v>0.148575</v>
      </c>
    </row>
    <row r="180" spans="1:9" s="509" customFormat="1" ht="12.75">
      <c r="A180" s="500" t="s">
        <v>109</v>
      </c>
      <c r="B180" s="747">
        <v>40.388000000000005</v>
      </c>
      <c r="C180" s="747"/>
      <c r="D180" s="747"/>
      <c r="E180" s="476">
        <v>28.083100000000005</v>
      </c>
      <c r="F180" s="476">
        <v>116.9692</v>
      </c>
      <c r="G180" s="747">
        <v>185.4403</v>
      </c>
      <c r="H180" s="747"/>
      <c r="I180" s="747"/>
    </row>
    <row r="181" spans="1:9" s="509" customFormat="1" ht="12.75">
      <c r="A181" s="500" t="s">
        <v>110</v>
      </c>
      <c r="B181" s="748"/>
      <c r="C181" s="748"/>
      <c r="D181" s="748"/>
      <c r="E181" s="476">
        <v>33.1389</v>
      </c>
      <c r="F181" s="476"/>
      <c r="G181" s="747">
        <v>33.1389</v>
      </c>
      <c r="H181" s="747"/>
      <c r="I181" s="747"/>
    </row>
    <row r="184" ht="15" customHeight="1">
      <c r="A184" s="496" t="s">
        <v>124</v>
      </c>
    </row>
    <row r="186" spans="2:9" s="509" customFormat="1" ht="12.75" customHeight="1">
      <c r="B186" s="749" t="s">
        <v>87</v>
      </c>
      <c r="C186" s="749"/>
      <c r="D186" s="749"/>
      <c r="E186" s="750" t="s">
        <v>88</v>
      </c>
      <c r="F186" s="750" t="s">
        <v>115</v>
      </c>
      <c r="G186" s="749" t="s">
        <v>90</v>
      </c>
      <c r="H186" s="749"/>
      <c r="I186" s="749"/>
    </row>
    <row r="187" spans="1:9" s="509" customFormat="1" ht="12.75">
      <c r="A187" s="500" t="s">
        <v>96</v>
      </c>
      <c r="B187" s="473" t="s">
        <v>98</v>
      </c>
      <c r="C187" s="473" t="s">
        <v>116</v>
      </c>
      <c r="D187" s="473" t="s">
        <v>117</v>
      </c>
      <c r="E187" s="750"/>
      <c r="F187" s="750"/>
      <c r="G187" s="473" t="s">
        <v>98</v>
      </c>
      <c r="H187" s="473" t="s">
        <v>116</v>
      </c>
      <c r="I187" s="473" t="s">
        <v>117</v>
      </c>
    </row>
    <row r="188" spans="1:9" s="509" customFormat="1" ht="12.75">
      <c r="A188" s="510" t="s">
        <v>118</v>
      </c>
      <c r="B188" s="476">
        <v>0.11203000000000002</v>
      </c>
      <c r="C188" s="476">
        <v>0.11065000000000001</v>
      </c>
      <c r="D188" s="476">
        <v>0.08611</v>
      </c>
      <c r="E188" s="745">
        <v>0.006160000000000001</v>
      </c>
      <c r="F188" s="746">
        <v>0.052704999999999995</v>
      </c>
      <c r="G188" s="474">
        <v>0.17089500000000002</v>
      </c>
      <c r="H188" s="474">
        <v>0.169515</v>
      </c>
      <c r="I188" s="474">
        <v>0.144975</v>
      </c>
    </row>
    <row r="189" spans="1:9" s="509" customFormat="1" ht="12.75">
      <c r="A189" s="510" t="s">
        <v>119</v>
      </c>
      <c r="B189" s="476">
        <v>0.1004</v>
      </c>
      <c r="C189" s="476">
        <v>0.11082000000000003</v>
      </c>
      <c r="D189" s="476">
        <v>0.08804000000000002</v>
      </c>
      <c r="E189" s="745"/>
      <c r="F189" s="746"/>
      <c r="G189" s="474">
        <v>0.159265</v>
      </c>
      <c r="H189" s="474">
        <v>0.16968500000000003</v>
      </c>
      <c r="I189" s="474">
        <v>0.146905</v>
      </c>
    </row>
    <row r="190" spans="1:9" s="509" customFormat="1" ht="12.75">
      <c r="A190" s="510" t="s">
        <v>120</v>
      </c>
      <c r="B190" s="476">
        <v>0.10538000000000002</v>
      </c>
      <c r="C190" s="476">
        <v>0.11208</v>
      </c>
      <c r="D190" s="476">
        <v>0.08968000000000002</v>
      </c>
      <c r="E190" s="745"/>
      <c r="F190" s="746"/>
      <c r="G190" s="474">
        <v>0.164245</v>
      </c>
      <c r="H190" s="474">
        <v>0.17094499999999999</v>
      </c>
      <c r="I190" s="474">
        <v>0.148545</v>
      </c>
    </row>
    <row r="191" spans="1:9" s="509" customFormat="1" ht="12.75">
      <c r="A191" s="500" t="s">
        <v>109</v>
      </c>
      <c r="B191" s="747">
        <v>40.388000000000005</v>
      </c>
      <c r="C191" s="747"/>
      <c r="D191" s="747"/>
      <c r="E191" s="476">
        <v>27.558600000000002</v>
      </c>
      <c r="F191" s="476">
        <v>116.9692</v>
      </c>
      <c r="G191" s="747">
        <v>184.9158</v>
      </c>
      <c r="H191" s="747"/>
      <c r="I191" s="747"/>
    </row>
    <row r="192" spans="1:9" s="509" customFormat="1" ht="12.75">
      <c r="A192" s="500" t="s">
        <v>110</v>
      </c>
      <c r="B192" s="748"/>
      <c r="C192" s="748"/>
      <c r="D192" s="748"/>
      <c r="E192" s="476">
        <v>31.4736</v>
      </c>
      <c r="F192" s="476"/>
      <c r="G192" s="747">
        <v>31.4736</v>
      </c>
      <c r="H192" s="747"/>
      <c r="I192" s="747"/>
    </row>
    <row r="194" ht="12.75">
      <c r="A194" s="497" t="s">
        <v>904</v>
      </c>
    </row>
  </sheetData>
  <sheetProtection password="D412" sheet="1"/>
  <mergeCells count="160">
    <mergeCell ref="B66:D66"/>
    <mergeCell ref="E66:E67"/>
    <mergeCell ref="F66:F67"/>
    <mergeCell ref="G66:I66"/>
    <mergeCell ref="F77:F79"/>
    <mergeCell ref="E68:E70"/>
    <mergeCell ref="F68:F70"/>
    <mergeCell ref="B71:D71"/>
    <mergeCell ref="G71:I71"/>
    <mergeCell ref="B72:D72"/>
    <mergeCell ref="E88:E90"/>
    <mergeCell ref="F88:F90"/>
    <mergeCell ref="B75:D75"/>
    <mergeCell ref="E75:E76"/>
    <mergeCell ref="F75:F76"/>
    <mergeCell ref="G75:I75"/>
    <mergeCell ref="E77:E79"/>
    <mergeCell ref="E86:E87"/>
    <mergeCell ref="F86:F87"/>
    <mergeCell ref="G86:I86"/>
    <mergeCell ref="Q12:T12"/>
    <mergeCell ref="U12:Y12"/>
    <mergeCell ref="L2:Y2"/>
    <mergeCell ref="Q8:Y8"/>
    <mergeCell ref="L6:O6"/>
    <mergeCell ref="P6:Y6"/>
    <mergeCell ref="A10:F10"/>
    <mergeCell ref="G63:I63"/>
    <mergeCell ref="B91:D91"/>
    <mergeCell ref="G91:I91"/>
    <mergeCell ref="B92:D92"/>
    <mergeCell ref="G92:I92"/>
    <mergeCell ref="B80:D80"/>
    <mergeCell ref="G80:I80"/>
    <mergeCell ref="B81:D81"/>
    <mergeCell ref="G81:I81"/>
    <mergeCell ref="B86:D86"/>
    <mergeCell ref="G72:I72"/>
    <mergeCell ref="B57:D57"/>
    <mergeCell ref="E57:E58"/>
    <mergeCell ref="F57:F58"/>
    <mergeCell ref="G57:I57"/>
    <mergeCell ref="E59:E61"/>
    <mergeCell ref="F59:F61"/>
    <mergeCell ref="B62:D62"/>
    <mergeCell ref="G62:I62"/>
    <mergeCell ref="B63:D63"/>
    <mergeCell ref="E50:E52"/>
    <mergeCell ref="F50:F52"/>
    <mergeCell ref="B53:D53"/>
    <mergeCell ref="G53:I53"/>
    <mergeCell ref="B54:D54"/>
    <mergeCell ref="G54:I54"/>
    <mergeCell ref="G36:I36"/>
    <mergeCell ref="G37:I37"/>
    <mergeCell ref="A40:I40"/>
    <mergeCell ref="B48:D48"/>
    <mergeCell ref="E48:E49"/>
    <mergeCell ref="F48:F49"/>
    <mergeCell ref="G48:I48"/>
    <mergeCell ref="B32:B35"/>
    <mergeCell ref="C32:C35"/>
    <mergeCell ref="D32:D35"/>
    <mergeCell ref="F32:F35"/>
    <mergeCell ref="B36:D36"/>
    <mergeCell ref="B24:D24"/>
    <mergeCell ref="G24:I24"/>
    <mergeCell ref="G25:I25"/>
    <mergeCell ref="B29:D29"/>
    <mergeCell ref="E29:E30"/>
    <mergeCell ref="F29:F30"/>
    <mergeCell ref="G29:I29"/>
    <mergeCell ref="C30:D30"/>
    <mergeCell ref="H30:I30"/>
    <mergeCell ref="B16:D16"/>
    <mergeCell ref="E16:E17"/>
    <mergeCell ref="F16:F17"/>
    <mergeCell ref="G16:I16"/>
    <mergeCell ref="C17:D17"/>
    <mergeCell ref="H17:I17"/>
    <mergeCell ref="L102:Y102"/>
    <mergeCell ref="L106:O106"/>
    <mergeCell ref="P106:Y106"/>
    <mergeCell ref="Q108:Y108"/>
    <mergeCell ref="A110:F110"/>
    <mergeCell ref="Q112:T112"/>
    <mergeCell ref="U112:Y112"/>
    <mergeCell ref="B116:D116"/>
    <mergeCell ref="E116:E117"/>
    <mergeCell ref="F116:F117"/>
    <mergeCell ref="G116:I116"/>
    <mergeCell ref="C117:D117"/>
    <mergeCell ref="H117:I117"/>
    <mergeCell ref="B124:D124"/>
    <mergeCell ref="G124:I124"/>
    <mergeCell ref="G125:I125"/>
    <mergeCell ref="B129:D129"/>
    <mergeCell ref="E129:E130"/>
    <mergeCell ref="F129:F130"/>
    <mergeCell ref="G129:I129"/>
    <mergeCell ref="C130:D130"/>
    <mergeCell ref="H130:I130"/>
    <mergeCell ref="B132:B135"/>
    <mergeCell ref="C132:C135"/>
    <mergeCell ref="D132:D135"/>
    <mergeCell ref="F132:F135"/>
    <mergeCell ref="B136:D136"/>
    <mergeCell ref="G136:I136"/>
    <mergeCell ref="G137:I137"/>
    <mergeCell ref="A140:I140"/>
    <mergeCell ref="B148:D148"/>
    <mergeCell ref="E148:E149"/>
    <mergeCell ref="F148:F149"/>
    <mergeCell ref="G148:I148"/>
    <mergeCell ref="E150:E152"/>
    <mergeCell ref="F150:F152"/>
    <mergeCell ref="B153:D153"/>
    <mergeCell ref="G153:I153"/>
    <mergeCell ref="B154:D154"/>
    <mergeCell ref="G154:I154"/>
    <mergeCell ref="B157:D157"/>
    <mergeCell ref="E157:E158"/>
    <mergeCell ref="F157:F158"/>
    <mergeCell ref="G157:I157"/>
    <mergeCell ref="E159:E161"/>
    <mergeCell ref="F159:F161"/>
    <mergeCell ref="B162:D162"/>
    <mergeCell ref="G162:I162"/>
    <mergeCell ref="B163:D163"/>
    <mergeCell ref="G163:I163"/>
    <mergeCell ref="B166:D166"/>
    <mergeCell ref="E166:E167"/>
    <mergeCell ref="F166:F167"/>
    <mergeCell ref="G166:I166"/>
    <mergeCell ref="E168:E170"/>
    <mergeCell ref="F168:F170"/>
    <mergeCell ref="B171:D171"/>
    <mergeCell ref="G171:I171"/>
    <mergeCell ref="B172:D172"/>
    <mergeCell ref="G172:I172"/>
    <mergeCell ref="B175:D175"/>
    <mergeCell ref="E175:E176"/>
    <mergeCell ref="F175:F176"/>
    <mergeCell ref="G175:I175"/>
    <mergeCell ref="E177:E179"/>
    <mergeCell ref="F177:F179"/>
    <mergeCell ref="B180:D180"/>
    <mergeCell ref="G180:I180"/>
    <mergeCell ref="B181:D181"/>
    <mergeCell ref="G181:I181"/>
    <mergeCell ref="B186:D186"/>
    <mergeCell ref="E186:E187"/>
    <mergeCell ref="F186:F187"/>
    <mergeCell ref="G186:I186"/>
    <mergeCell ref="E188:E190"/>
    <mergeCell ref="F188:F190"/>
    <mergeCell ref="B191:D191"/>
    <mergeCell ref="G191:I191"/>
    <mergeCell ref="B192:D192"/>
    <mergeCell ref="G192:I192"/>
  </mergeCells>
  <printOptions/>
  <pageMargins left="0.7" right="0.7" top="0.75" bottom="0.75" header="0.3" footer="0.3"/>
  <pageSetup orientation="portrait" paperSize="9"/>
  <ignoredErrors>
    <ignoredError sqref="P4 U10:V10 Y4 S4:T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Francesco</cp:lastModifiedBy>
  <cp:lastPrinted>2012-10-06T14:03:10Z</cp:lastPrinted>
  <dcterms:created xsi:type="dcterms:W3CDTF">2010-12-17T06:13:15Z</dcterms:created>
  <dcterms:modified xsi:type="dcterms:W3CDTF">2013-06-10T09:26:09Z</dcterms:modified>
  <cp:category/>
  <cp:version/>
  <cp:contentType/>
  <cp:contentStatus/>
</cp:coreProperties>
</file>